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95" windowWidth="12000" windowHeight="5835" activeTab="0"/>
  </bookViews>
  <sheets>
    <sheet name="TW Walks" sheetId="1" r:id="rId1"/>
  </sheets>
  <definedNames>
    <definedName name="__123Graph_A" localSheetId="0" hidden="1">'TW Walks'!#REF!</definedName>
    <definedName name="__123Graph_AWALKS" localSheetId="0" hidden="1">'TW Walks'!#REF!</definedName>
    <definedName name="__123Graph_B" localSheetId="0" hidden="1">'TW Walks'!#REF!</definedName>
    <definedName name="__123Graph_BWALKS" localSheetId="0" hidden="1">'TW Walks'!#REF!</definedName>
    <definedName name="__123Graph_C" localSheetId="0" hidden="1">'TW Walks'!#REF!</definedName>
    <definedName name="__123Graph_CWALKS" localSheetId="0" hidden="1">'TW Walks'!#REF!</definedName>
    <definedName name="__123Graph_X" localSheetId="0" hidden="1">'TW Walks'!#REF!</definedName>
    <definedName name="__123Graph_XWALKS" localSheetId="0" hidden="1">'TW Walks'!#REF!</definedName>
    <definedName name="_Fill" localSheetId="0" hidden="1">'TW Walks'!$A$354:$A$411</definedName>
    <definedName name="_Key1" localSheetId="0" hidden="1">'TW Walks'!$E$279</definedName>
    <definedName name="_Key2" localSheetId="0" hidden="1">'TW Walks'!$B$279</definedName>
    <definedName name="_Order1" localSheetId="0" hidden="1">0</definedName>
    <definedName name="_Order2" localSheetId="0" hidden="1">255</definedName>
    <definedName name="_Regression_Int" localSheetId="0" hidden="1">0</definedName>
    <definedName name="_Sort" localSheetId="0" hidden="1">'TW Walks'!$B$5:$F$286</definedName>
    <definedName name="DATABASE">'TW Walks'!#REF!</definedName>
    <definedName name="Database_MI">'TW Walks'!#REF!</definedName>
    <definedName name="_xlnm.Print_Area" localSheetId="0">'TW Walks'!#REF!</definedName>
    <definedName name="Print_Area_MI">'TW Walks'!$B$112:$G$125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<sst xmlns="http://schemas.openxmlformats.org/spreadsheetml/2006/main" count="1314" uniqueCount="598">
  <si>
    <t>Gritstone Trail</t>
  </si>
  <si>
    <t>MAJOR WALKS UNDERTAKEN</t>
  </si>
  <si>
    <t>Date</t>
  </si>
  <si>
    <t>With</t>
  </si>
  <si>
    <t>Description</t>
  </si>
  <si>
    <t>Distance</t>
  </si>
  <si>
    <t>Total</t>
  </si>
  <si>
    <t>Annual</t>
  </si>
  <si>
    <t>of Walk</t>
  </si>
  <si>
    <t>CWD\AOW</t>
  </si>
  <si>
    <t>Lathkilldale</t>
  </si>
  <si>
    <t>CWD\AOW\GF</t>
  </si>
  <si>
    <t>Berwyn Mountains</t>
  </si>
  <si>
    <t>SCB</t>
  </si>
  <si>
    <t>Goyt Moor</t>
  </si>
  <si>
    <t>AOW</t>
  </si>
  <si>
    <t>Cannock Chase</t>
  </si>
  <si>
    <t>SRG</t>
  </si>
  <si>
    <t>Gnosall</t>
  </si>
  <si>
    <t>CWD\AOW\RD</t>
  </si>
  <si>
    <t>Snowdon Watkin Path</t>
  </si>
  <si>
    <t>Wombourne</t>
  </si>
  <si>
    <t>Cleobury Mortimer</t>
  </si>
  <si>
    <t>Colton</t>
  </si>
  <si>
    <t>Manifold Valley</t>
  </si>
  <si>
    <t>Loynton</t>
  </si>
  <si>
    <t>Caer Caradoc\Long Mynd</t>
  </si>
  <si>
    <t>Downs Bank</t>
  </si>
  <si>
    <t>Wheaton Aston\Brewood</t>
  </si>
  <si>
    <t>Shareshill</t>
  </si>
  <si>
    <t>Weston</t>
  </si>
  <si>
    <t>Bagnall\Deep Hayes</t>
  </si>
  <si>
    <t>Lapley</t>
  </si>
  <si>
    <t>Sutton\Aqualate</t>
  </si>
  <si>
    <t>Wildboarclough</t>
  </si>
  <si>
    <t>Brocton</t>
  </si>
  <si>
    <t>The Outlands</t>
  </si>
  <si>
    <t>Fulford</t>
  </si>
  <si>
    <t>Bishops Wood</t>
  </si>
  <si>
    <t>Alone</t>
  </si>
  <si>
    <t>Cheddleton\Onecote</t>
  </si>
  <si>
    <t>Brewood</t>
  </si>
  <si>
    <t>Hopshort</t>
  </si>
  <si>
    <t>Malvern Hills</t>
  </si>
  <si>
    <t>Codsall Wood</t>
  </si>
  <si>
    <t>Sandon</t>
  </si>
  <si>
    <t>Long Mynd</t>
  </si>
  <si>
    <t>Berry Ring</t>
  </si>
  <si>
    <t>Abbots Bromley</t>
  </si>
  <si>
    <t>SRG\ARW</t>
  </si>
  <si>
    <t>Kibblestone</t>
  </si>
  <si>
    <t>Brown Edge</t>
  </si>
  <si>
    <t>SCB\MCB</t>
  </si>
  <si>
    <t>Glyder Fawr</t>
  </si>
  <si>
    <t>Acton Trussell</t>
  </si>
  <si>
    <t>Mer</t>
  </si>
  <si>
    <t>Tittensor</t>
  </si>
  <si>
    <t>Thixendale</t>
  </si>
  <si>
    <t>Hole of Horcum</t>
  </si>
  <si>
    <t>Ryedale, Rievault</t>
  </si>
  <si>
    <t>Pire Hill</t>
  </si>
  <si>
    <t>The Roaches</t>
  </si>
  <si>
    <t>Cheddleton prewalk</t>
  </si>
  <si>
    <t>Shaky Bridges</t>
  </si>
  <si>
    <t>Ilam</t>
  </si>
  <si>
    <t>Stretton</t>
  </si>
  <si>
    <t>Staffs Moorlands Challenge</t>
  </si>
  <si>
    <t>Toot Hill</t>
  </si>
  <si>
    <t>Chelmorton</t>
  </si>
  <si>
    <t>SRG\AOW</t>
  </si>
  <si>
    <t>Three Shires Head</t>
  </si>
  <si>
    <t>Brecon Beacons</t>
  </si>
  <si>
    <t>Carsington</t>
  </si>
  <si>
    <t>Eccleshall</t>
  </si>
  <si>
    <t>RH</t>
  </si>
  <si>
    <t>Val D'Incles</t>
  </si>
  <si>
    <t>Llac D'Engolasters</t>
  </si>
  <si>
    <t>Pic Encampadana</t>
  </si>
  <si>
    <t>Pic Montmalus</t>
  </si>
  <si>
    <t>SBWC</t>
  </si>
  <si>
    <t>Pic de l'Estanyo</t>
  </si>
  <si>
    <t>Val D'Incles, L'Hospitalite</t>
  </si>
  <si>
    <t>Pic de Tristaina</t>
  </si>
  <si>
    <t>Pic de Cabaneta</t>
  </si>
  <si>
    <t>Pic de Alt Cubil</t>
  </si>
  <si>
    <t>Pic de Serrera</t>
  </si>
  <si>
    <t>Collada dels Pessons</t>
  </si>
  <si>
    <t>Pic de Coma Pedrosa</t>
  </si>
  <si>
    <t>Snowden Horseshoe</t>
  </si>
  <si>
    <t>Longdon Green</t>
  </si>
  <si>
    <t>White Peak Challenge</t>
  </si>
  <si>
    <t>Brown Clee</t>
  </si>
  <si>
    <t>Tryfan\Glyders\Y Garn</t>
  </si>
  <si>
    <t>LL</t>
  </si>
  <si>
    <t>Helvellyn</t>
  </si>
  <si>
    <t>Dove Crag</t>
  </si>
  <si>
    <t>Cheddleton Prewalk</t>
  </si>
  <si>
    <t>Cheddleton</t>
  </si>
  <si>
    <t>Tissington\Dovedale</t>
  </si>
  <si>
    <t>Work\AOW</t>
  </si>
  <si>
    <t xml:space="preserve">Pike o'Blisco\Crinkle Crags\Bowfell </t>
  </si>
  <si>
    <t>Nyangcombe Falls</t>
  </si>
  <si>
    <t>Stone</t>
  </si>
  <si>
    <t>Innerleithen</t>
  </si>
  <si>
    <t>West Linton</t>
  </si>
  <si>
    <t>Newport</t>
  </si>
  <si>
    <t>Huntington</t>
  </si>
  <si>
    <t>Moddershall</t>
  </si>
  <si>
    <t>Teddesley Bank</t>
  </si>
  <si>
    <t>Milford Common</t>
  </si>
  <si>
    <t>CWD</t>
  </si>
  <si>
    <t>Clun</t>
  </si>
  <si>
    <t>Womere</t>
  </si>
  <si>
    <t>Goyt Valley</t>
  </si>
  <si>
    <t>Hilderstone</t>
  </si>
  <si>
    <t>Longdon</t>
  </si>
  <si>
    <t>Work</t>
  </si>
  <si>
    <t>Tryfan</t>
  </si>
  <si>
    <t>Mer\SAW</t>
  </si>
  <si>
    <t>Frankley</t>
  </si>
  <si>
    <t>Swynnerton Prewalk</t>
  </si>
  <si>
    <t>Ranton Abbey</t>
  </si>
  <si>
    <t>Shifnal</t>
  </si>
  <si>
    <t>Almost Scafell Pike</t>
  </si>
  <si>
    <t>NT</t>
  </si>
  <si>
    <t xml:space="preserve">Almost Snowdon </t>
  </si>
  <si>
    <t>Almost Cnicht</t>
  </si>
  <si>
    <t>Maer</t>
  </si>
  <si>
    <t>Manifold\Dovedale</t>
  </si>
  <si>
    <t>Biddulph</t>
  </si>
  <si>
    <t>Swynnerton</t>
  </si>
  <si>
    <t>Longnor</t>
  </si>
  <si>
    <t>Cags</t>
  </si>
  <si>
    <t>Severn Valley</t>
  </si>
  <si>
    <t>Badger</t>
  </si>
  <si>
    <t>Cags\AOW</t>
  </si>
  <si>
    <t>Dovedale</t>
  </si>
  <si>
    <t>Symond's Yat</t>
  </si>
  <si>
    <t>Snowdon</t>
  </si>
  <si>
    <t>Mer\SA\AR\AE</t>
  </si>
  <si>
    <t>Chaddesley Corbett</t>
  </si>
  <si>
    <t>CWD\JD</t>
  </si>
  <si>
    <t>Dark Peak Challenge</t>
  </si>
  <si>
    <t>Highgate Common</t>
  </si>
  <si>
    <t>SAB</t>
  </si>
  <si>
    <t>Lathkilldale\Bradforddale</t>
  </si>
  <si>
    <t>Mow Cop-Rocester</t>
  </si>
  <si>
    <t>Bredon Hill</t>
  </si>
  <si>
    <t>Blencathra</t>
  </si>
  <si>
    <t>Haystacks\Brandreth\Fleetwith Pike</t>
  </si>
  <si>
    <t>Great Gable\Kirk Fell\Pillar</t>
  </si>
  <si>
    <t>Great End\Scafell Pike\Lingmell</t>
  </si>
  <si>
    <t>Crummock Water\Mellbreak</t>
  </si>
  <si>
    <t>Borrowdale\Dock Tarn</t>
  </si>
  <si>
    <t>Causey Pike\Crag Hill\Grassmore</t>
  </si>
  <si>
    <t>Kinver Edge</t>
  </si>
  <si>
    <t>Haughton</t>
  </si>
  <si>
    <t>Robin Hood's Stride Prewalk</t>
  </si>
  <si>
    <t>Tryfan\Glyders</t>
  </si>
  <si>
    <t>Hawkstone Park</t>
  </si>
  <si>
    <t>Robin Hood's Stride</t>
  </si>
  <si>
    <t>Conniston</t>
  </si>
  <si>
    <t>Woodseaves Prewalk</t>
  </si>
  <si>
    <t>Woodseaves Prewalk 2</t>
  </si>
  <si>
    <t>Wedgwood Pools</t>
  </si>
  <si>
    <t>Kerry Ridgway</t>
  </si>
  <si>
    <t>Elan Valleys</t>
  </si>
  <si>
    <t>Claerwen</t>
  </si>
  <si>
    <t>Woodseaves</t>
  </si>
  <si>
    <t>Myddle</t>
  </si>
  <si>
    <t>Shuttlingsloe\Gritstone Trail</t>
  </si>
  <si>
    <t>Eastnor Park</t>
  </si>
  <si>
    <t>Cader Idris</t>
  </si>
  <si>
    <t>Mow Cop</t>
  </si>
  <si>
    <t>Buttermilk Hill, Shropshire</t>
  </si>
  <si>
    <t>Milford</t>
  </si>
  <si>
    <t>Enville</t>
  </si>
  <si>
    <t>Broadhill</t>
  </si>
  <si>
    <t>Hartington</t>
  </si>
  <si>
    <t>Haughmond Hill &amp; Abbey</t>
  </si>
  <si>
    <t>CWD\JD\AOW</t>
  </si>
  <si>
    <t>Hay Bluff</t>
  </si>
  <si>
    <t>Mam Tor</t>
  </si>
  <si>
    <t>Rushton Spencer Prewalk</t>
  </si>
  <si>
    <t>Seisdon</t>
  </si>
  <si>
    <t>CWD\RD</t>
  </si>
  <si>
    <t>Brineton</t>
  </si>
  <si>
    <t>Axe Edge\Goyt Valley</t>
  </si>
  <si>
    <t>Tissington Trail\Dovedale</t>
  </si>
  <si>
    <t>JD\IRC</t>
  </si>
  <si>
    <t>Bowfell\Esk Pike\Allen Crags</t>
  </si>
  <si>
    <t>Moors Gorse</t>
  </si>
  <si>
    <t>Peak Villages</t>
  </si>
  <si>
    <t>Ross-on-Wye\Penyard Hill</t>
  </si>
  <si>
    <t>Offa's Dyke\Wye Valley Walk</t>
  </si>
  <si>
    <t>Forest of Dean</t>
  </si>
  <si>
    <t>Dymock</t>
  </si>
  <si>
    <t>Carneddau</t>
  </si>
  <si>
    <t>Rushton Spencer</t>
  </si>
  <si>
    <t>Claverley</t>
  </si>
  <si>
    <t>Newlands Round</t>
  </si>
  <si>
    <t>Diddlebury Dawdle</t>
  </si>
  <si>
    <t>Llyn Brianne</t>
  </si>
  <si>
    <t>Moel Hebog</t>
  </si>
  <si>
    <t>Aber Falls</t>
  </si>
  <si>
    <t>Bakewell\Padley\Chatsworth</t>
  </si>
  <si>
    <t>Three Counties Challenge</t>
  </si>
  <si>
    <t>Three Castles Walk</t>
  </si>
  <si>
    <t>Cags\ARW</t>
  </si>
  <si>
    <t>Leckhampton Hill</t>
  </si>
  <si>
    <t>Oswestry-Llangollen</t>
  </si>
  <si>
    <t>HF</t>
  </si>
  <si>
    <t>Beinn na Cille</t>
  </si>
  <si>
    <t>Am Bodach\Stob Choire a Chairn</t>
  </si>
  <si>
    <t>Ben Nevis</t>
  </si>
  <si>
    <t>Fort William-Sgurr a Mhaim-Kinlochleven</t>
  </si>
  <si>
    <t>Creise</t>
  </si>
  <si>
    <t>Beinn a'Bheithir</t>
  </si>
  <si>
    <t>Elidar Fawr</t>
  </si>
  <si>
    <t>BP</t>
  </si>
  <si>
    <t>Gritstone Trail Prewalk</t>
  </si>
  <si>
    <t>JD\AOW</t>
  </si>
  <si>
    <t>Mosedale Round</t>
  </si>
  <si>
    <t>Scafell</t>
  </si>
  <si>
    <t>SRG\Cags</t>
  </si>
  <si>
    <t>Grassington</t>
  </si>
  <si>
    <t>SRG\AR\AE</t>
  </si>
  <si>
    <t>SW\EJ</t>
  </si>
  <si>
    <t>Wm O'Brian State Park</t>
  </si>
  <si>
    <t>Dayhills</t>
  </si>
  <si>
    <t>Penkridge</t>
  </si>
  <si>
    <t>Black Ladies</t>
  </si>
  <si>
    <t>Rowen</t>
  </si>
  <si>
    <t>SRG\SA\AE</t>
  </si>
  <si>
    <t>Westonjones</t>
  </si>
  <si>
    <t>Almost Dovedale Prewalk 1</t>
  </si>
  <si>
    <t>Apeton</t>
  </si>
  <si>
    <t>Shaffalong</t>
  </si>
  <si>
    <t>Almost Dovedale Prewalk 2</t>
  </si>
  <si>
    <t>Stafford Castle</t>
  </si>
  <si>
    <t>Almost Dovedale</t>
  </si>
  <si>
    <t>Barlaston</t>
  </si>
  <si>
    <t>Hednesford</t>
  </si>
  <si>
    <t>Tixall</t>
  </si>
  <si>
    <t>CWD\JD\IRC</t>
  </si>
  <si>
    <t>Gritstone 2 Prewalk</t>
  </si>
  <si>
    <t>Tong</t>
  </si>
  <si>
    <t>Longden</t>
  </si>
  <si>
    <t>BP\AR\AE</t>
  </si>
  <si>
    <t>Bouldon</t>
  </si>
  <si>
    <t>Fairfield</t>
  </si>
  <si>
    <t>Angle Tarn\Hayeswater</t>
  </si>
  <si>
    <t>Church Eaton</t>
  </si>
  <si>
    <t>Mabury</t>
  </si>
  <si>
    <t>IRC</t>
  </si>
  <si>
    <t>Kerry Ridgeway\Offa's Dyke</t>
  </si>
  <si>
    <t>Gritstone Trail 2</t>
  </si>
  <si>
    <t>Buttermere Round</t>
  </si>
  <si>
    <t>Colwich</t>
  </si>
  <si>
    <t>Lickey Hills</t>
  </si>
  <si>
    <t>Three Peaks</t>
  </si>
  <si>
    <t>Ironbridge</t>
  </si>
  <si>
    <t>Gnosall-Derrington</t>
  </si>
  <si>
    <t>Caer Caradog</t>
  </si>
  <si>
    <t>Winster-Bradforddale</t>
  </si>
  <si>
    <t>Hixon</t>
  </si>
  <si>
    <t>Cap Coz</t>
  </si>
  <si>
    <t>Bradley</t>
  </si>
  <si>
    <t>JD</t>
  </si>
  <si>
    <t>Bleaklow</t>
  </si>
  <si>
    <t>Ellishill</t>
  </si>
  <si>
    <t>Oakamoor</t>
  </si>
  <si>
    <t>Kingsley\Froghall</t>
  </si>
  <si>
    <t>Buttermilk Hill Prewalk</t>
  </si>
  <si>
    <t>Monsaldale</t>
  </si>
  <si>
    <t>Tal y Fan</t>
  </si>
  <si>
    <t>Gwytherin Forest</t>
  </si>
  <si>
    <t>Butterton</t>
  </si>
  <si>
    <t>SRG\SA\AR\AE</t>
  </si>
  <si>
    <t>Haughton\Berry Ring</t>
  </si>
  <si>
    <t>Buttermilk Hill, Staffordshire</t>
  </si>
  <si>
    <t>Kingstone</t>
  </si>
  <si>
    <t>The Slaughters</t>
  </si>
  <si>
    <t>Dove Valley</t>
  </si>
  <si>
    <t>Bromsted Common\Ranton Abbey</t>
  </si>
  <si>
    <t>Gnosall-Loynton</t>
  </si>
  <si>
    <t>JD\ISC</t>
  </si>
  <si>
    <t>Skiddaw</t>
  </si>
  <si>
    <t>Chatcull</t>
  </si>
  <si>
    <t>Tittensor Chase</t>
  </si>
  <si>
    <t>JD\CWD</t>
  </si>
  <si>
    <t>Shining Tor Prewalk</t>
  </si>
  <si>
    <t>High Offley</t>
  </si>
  <si>
    <t>St Briavels</t>
  </si>
  <si>
    <t>Forton</t>
  </si>
  <si>
    <t>Stiperstones\Cornden</t>
  </si>
  <si>
    <t>Avoncroft &amp; Tardebigge</t>
  </si>
  <si>
    <t>Stiperstones</t>
  </si>
  <si>
    <t>Shining Tor</t>
  </si>
  <si>
    <t>Guild of Monks</t>
  </si>
  <si>
    <t>KGL</t>
  </si>
  <si>
    <t>Snowdon\Moel Cynghorion</t>
  </si>
  <si>
    <t>Meriden</t>
  </si>
  <si>
    <t>Chirbury</t>
  </si>
  <si>
    <t>Gun</t>
  </si>
  <si>
    <t>Great Gable\Base Brown</t>
  </si>
  <si>
    <t>RR</t>
  </si>
  <si>
    <t>Seathwaite Fell\Ill Crag\Gt End\Glaramara</t>
  </si>
  <si>
    <t>High Spy</t>
  </si>
  <si>
    <t>Weaver Hills</t>
  </si>
  <si>
    <t>Lilleshall Abbey</t>
  </si>
  <si>
    <t>Pools of Beauty</t>
  </si>
  <si>
    <t>Cader Bronwen</t>
  </si>
  <si>
    <t>Parwich</t>
  </si>
  <si>
    <t>SD</t>
  </si>
  <si>
    <t>Ellishill Prewalk</t>
  </si>
  <si>
    <t>Acton Trussel</t>
  </si>
  <si>
    <t>Mam Tor\Kinder Scout\Rushup Edge</t>
  </si>
  <si>
    <t>Lyme Park</t>
  </si>
  <si>
    <t>Kentmere Round\High Street</t>
  </si>
  <si>
    <t>Alcester</t>
  </si>
  <si>
    <t>Froghall</t>
  </si>
  <si>
    <t>Water cum Jollydale</t>
  </si>
  <si>
    <t>Codsall</t>
  </si>
  <si>
    <t>Cotswold Way</t>
  </si>
  <si>
    <t>Hohe Salve-Soll</t>
  </si>
  <si>
    <t>Itter\Hoch Soll</t>
  </si>
  <si>
    <t>Stallhausl</t>
  </si>
  <si>
    <t>Hartkaiser\Brandstadl</t>
  </si>
  <si>
    <t>Grosser Ploven</t>
  </si>
  <si>
    <t>Hohe Salve</t>
  </si>
  <si>
    <t>Wilschonau</t>
  </si>
  <si>
    <t>CWD\JD\IC</t>
  </si>
  <si>
    <t>Grassmoor</t>
  </si>
  <si>
    <t>Flaxley</t>
  </si>
  <si>
    <t>Lichfield</t>
  </si>
  <si>
    <t>Back Tor</t>
  </si>
  <si>
    <t>Seighford</t>
  </si>
  <si>
    <t>Baddesley Clinton</t>
  </si>
  <si>
    <t>Longdon Green Prewalk</t>
  </si>
  <si>
    <t xml:space="preserve">Three Map Prewalk </t>
  </si>
  <si>
    <t>Fairfield\Red Screes</t>
  </si>
  <si>
    <t>Fairoak</t>
  </si>
  <si>
    <t>Three Map Walk</t>
  </si>
  <si>
    <t>Chipping Campden</t>
  </si>
  <si>
    <t>Henley in Arden</t>
  </si>
  <si>
    <t>Worfield</t>
  </si>
  <si>
    <t>Green Crag</t>
  </si>
  <si>
    <t>Miterdale</t>
  </si>
  <si>
    <t>Devoke Water</t>
  </si>
  <si>
    <t>Copmere</t>
  </si>
  <si>
    <t>Sandon Prewalk</t>
  </si>
  <si>
    <t>Moel Siabod</t>
  </si>
  <si>
    <t>Forest of Pendle</t>
  </si>
  <si>
    <t>JD\ISC\DD</t>
  </si>
  <si>
    <t>High Street</t>
  </si>
  <si>
    <t>JD\CWD\IC</t>
  </si>
  <si>
    <t>Kidsty Pike</t>
  </si>
  <si>
    <t>Lilleshall</t>
  </si>
  <si>
    <t>Hopton</t>
  </si>
  <si>
    <t>Brereton</t>
  </si>
  <si>
    <t>Weeford</t>
  </si>
  <si>
    <t>Biddulph Moor</t>
  </si>
  <si>
    <t>Sandstone Trail</t>
  </si>
  <si>
    <t>River Dane</t>
  </si>
  <si>
    <t>Flagg</t>
  </si>
  <si>
    <t>Corndon</t>
  </si>
  <si>
    <t>Langdale Pikes</t>
  </si>
  <si>
    <t>Gun Prewalk</t>
  </si>
  <si>
    <t>Tinker's Inn to Virginsalley</t>
  </si>
  <si>
    <t>Place Fell</t>
  </si>
  <si>
    <t>Waun Fach</t>
  </si>
  <si>
    <t>Allt yr Esgair</t>
  </si>
  <si>
    <t>Arenig Fawr</t>
  </si>
  <si>
    <t>Cnicht</t>
  </si>
  <si>
    <t>Wasdale</t>
  </si>
  <si>
    <t>Gt Crag\Grange Fell</t>
  </si>
  <si>
    <t>Ullscarf Skyline</t>
  </si>
  <si>
    <t>Woore</t>
  </si>
  <si>
    <t>Winchcombe</t>
  </si>
  <si>
    <t>Foxt</t>
  </si>
  <si>
    <t>Brindley Valley</t>
  </si>
  <si>
    <t xml:space="preserve">Chipping </t>
  </si>
  <si>
    <t>Shutlingsloe</t>
  </si>
  <si>
    <t>Alstonefield</t>
  </si>
  <si>
    <t>Chetwynd Heath</t>
  </si>
  <si>
    <t>Brockton</t>
  </si>
  <si>
    <t>Cracow Moss</t>
  </si>
  <si>
    <t>Raise and the Dodds</t>
  </si>
  <si>
    <t>Corndon Prewalk</t>
  </si>
  <si>
    <t>SEO</t>
  </si>
  <si>
    <t>Betley</t>
  </si>
  <si>
    <t>Evening Walk</t>
  </si>
  <si>
    <t>Foxt Prewalk</t>
  </si>
  <si>
    <t>SST</t>
  </si>
  <si>
    <t>Callow Hill</t>
  </si>
  <si>
    <t>Madeley</t>
  </si>
  <si>
    <t>Moel y Cerrig Duon</t>
  </si>
  <si>
    <t>Bridgnorth</t>
  </si>
  <si>
    <t>SE</t>
  </si>
  <si>
    <t>Berkswell</t>
  </si>
  <si>
    <t>Stokesay Castle</t>
  </si>
  <si>
    <t>Betley Prewalk</t>
  </si>
  <si>
    <t>Carnedd Llewellyn</t>
  </si>
  <si>
    <t>Gozd Martuliek</t>
  </si>
  <si>
    <t>Slemenova Spica</t>
  </si>
  <si>
    <t>Martuliek Falls</t>
  </si>
  <si>
    <t>Ratece</t>
  </si>
  <si>
    <t>Italian Lakes</t>
  </si>
  <si>
    <t>Pisnica Valley</t>
  </si>
  <si>
    <t>Dovje</t>
  </si>
  <si>
    <t>Three Countries Walk</t>
  </si>
  <si>
    <t>Beacon Fell</t>
  </si>
  <si>
    <t>Gowbarrow</t>
  </si>
  <si>
    <t>Ciprnik</t>
  </si>
  <si>
    <t>Lake Jasna</t>
  </si>
  <si>
    <t>Fair Snape Fell</t>
  </si>
  <si>
    <t>Fair Snape Fell Prewalk</t>
  </si>
  <si>
    <t>Ward's Stone</t>
  </si>
  <si>
    <t>Grasmere Round</t>
  </si>
  <si>
    <t>Loweswater Fells</t>
  </si>
  <si>
    <t>BP\TD\PB</t>
  </si>
  <si>
    <t>High Stile</t>
  </si>
  <si>
    <t>Sprinkling Tarn</t>
  </si>
  <si>
    <t>Cracow Moss prewalk</t>
  </si>
  <si>
    <t>Bridgemere</t>
  </si>
  <si>
    <t>Forest of Mercia</t>
  </si>
  <si>
    <t>Admaston</t>
  </si>
  <si>
    <t>Wildmore Hill</t>
  </si>
  <si>
    <t>Upper Dove</t>
  </si>
  <si>
    <t>Walton &amp; Bednall</t>
  </si>
  <si>
    <t>Newborough</t>
  </si>
  <si>
    <t>Overton</t>
  </si>
  <si>
    <t>Wolsey Estate</t>
  </si>
  <si>
    <t>Staffordshire Way</t>
  </si>
  <si>
    <t>Lords Seat</t>
  </si>
  <si>
    <t>Cheddar Gorge</t>
  </si>
  <si>
    <t>Branstree</t>
  </si>
  <si>
    <t>Llwytmor</t>
  </si>
  <si>
    <t>The Wrekin</t>
  </si>
  <si>
    <t>Gnosall Prewalk</t>
  </si>
  <si>
    <t>Loadpot Hill</t>
  </si>
  <si>
    <t>Braithwaite-Buttermere</t>
  </si>
  <si>
    <t>Birthday Bash</t>
  </si>
  <si>
    <t>BW</t>
  </si>
  <si>
    <t>The Long Mountain</t>
  </si>
  <si>
    <t>Lakes 1</t>
  </si>
  <si>
    <t>Lakes 2</t>
  </si>
  <si>
    <t>Lakes 3</t>
  </si>
  <si>
    <t>Pontesbury</t>
  </si>
  <si>
    <t>The Glyders</t>
  </si>
  <si>
    <t>Wansfell</t>
  </si>
  <si>
    <t>Loughrigg &amp; Silver How</t>
  </si>
  <si>
    <t>Latterbarrow &amp; Black Fell</t>
  </si>
  <si>
    <t>High Rigg &amp; Raven Crag</t>
  </si>
  <si>
    <t>Friog Quarries</t>
  </si>
  <si>
    <t>Fan Brycheiniog</t>
  </si>
  <si>
    <t>Cross Fell</t>
  </si>
  <si>
    <t>Tissington</t>
  </si>
  <si>
    <t>BW\AEW</t>
  </si>
  <si>
    <t>Haughmond Woods</t>
  </si>
  <si>
    <t>Waun Rydd</t>
  </si>
  <si>
    <t>Fan Fawr</t>
  </si>
  <si>
    <t>Severn Riverside</t>
  </si>
  <si>
    <t>Higger Tor</t>
  </si>
  <si>
    <t>Wolfscotedale</t>
  </si>
  <si>
    <t>Silkin Way</t>
  </si>
  <si>
    <t>The Villages Walk</t>
  </si>
  <si>
    <t>Aston</t>
  </si>
  <si>
    <t>The Aran Mountains</t>
  </si>
  <si>
    <t>The Nab</t>
  </si>
  <si>
    <t>Higger Tor Prewalk</t>
  </si>
  <si>
    <t>Middle Dodd</t>
  </si>
  <si>
    <t>JD\ISC 214</t>
  </si>
  <si>
    <t>BW\JC</t>
  </si>
  <si>
    <t>Ennerdale Wainwrights</t>
  </si>
  <si>
    <t>Kluze</t>
  </si>
  <si>
    <t>Pluzna</t>
  </si>
  <si>
    <t>Soca Trail</t>
  </si>
  <si>
    <t>Svinjak</t>
  </si>
  <si>
    <t>Holme Fell\Lingmoor</t>
  </si>
  <si>
    <t>Tittesworth</t>
  </si>
  <si>
    <t>Mam Tor Ridge</t>
  </si>
  <si>
    <t>Kinder and Edale</t>
  </si>
  <si>
    <t>Win Hill</t>
  </si>
  <si>
    <t>Combe Hill</t>
  </si>
  <si>
    <t>Cherwell Valley</t>
  </si>
  <si>
    <t>The Marches Way</t>
  </si>
  <si>
    <t>BM\DWD</t>
  </si>
  <si>
    <t>Chelmarsh</t>
  </si>
  <si>
    <t>BM</t>
  </si>
  <si>
    <t>Bakestall</t>
  </si>
  <si>
    <t>Glaramara</t>
  </si>
  <si>
    <t>Czesoca</t>
  </si>
  <si>
    <t>Moel Eilio</t>
  </si>
  <si>
    <t>Gentleshaw</t>
  </si>
  <si>
    <t>Ashbourne</t>
  </si>
  <si>
    <t>Tinkers Inn to Virginsalley</t>
  </si>
  <si>
    <t>Churnet Valley</t>
  </si>
  <si>
    <t>Mayfield</t>
  </si>
  <si>
    <t>Wensley Dale</t>
  </si>
  <si>
    <t>Axe Edge</t>
  </si>
  <si>
    <t>Croxton</t>
  </si>
  <si>
    <t>Montgomery</t>
  </si>
  <si>
    <t>Brocton Coppice</t>
  </si>
  <si>
    <t>Weatherlam</t>
  </si>
  <si>
    <t>Rossett Pike</t>
  </si>
  <si>
    <t>Gragareth</t>
  </si>
  <si>
    <t>The Howgills</t>
  </si>
  <si>
    <t>Brandstadl</t>
  </si>
  <si>
    <t>Shugborough</t>
  </si>
  <si>
    <t>Virginia Water</t>
  </si>
  <si>
    <t>Wainwright Bagging</t>
  </si>
  <si>
    <t>Harter Fell</t>
  </si>
  <si>
    <t>Na Blanca</t>
  </si>
  <si>
    <t>Deia</t>
  </si>
  <si>
    <t>Cala Tuent</t>
  </si>
  <si>
    <t>L'Ofre Ridge</t>
  </si>
  <si>
    <t>Albufera</t>
  </si>
  <si>
    <t>Puig Roig</t>
  </si>
  <si>
    <t>Muncaster Fell</t>
  </si>
  <si>
    <t>Breidden Hills</t>
  </si>
  <si>
    <t>Gt Knoutberry Hill</t>
  </si>
  <si>
    <t>Gt Whernside</t>
  </si>
  <si>
    <t>BW\CWD</t>
  </si>
  <si>
    <t>Gaping Gill</t>
  </si>
  <si>
    <t>Moel y Golfa</t>
  </si>
  <si>
    <t>Rhiwabon</t>
  </si>
  <si>
    <t>Mortimer Trail</t>
  </si>
  <si>
    <t>Hoodoos Trail</t>
  </si>
  <si>
    <t>Sulphur Mountain\Vermillion Lakes</t>
  </si>
  <si>
    <t>Stewart Canyon</t>
  </si>
  <si>
    <t>The Inkpots\Lake Louise</t>
  </si>
  <si>
    <t>Whitehorn Mountain\Consolation Lake</t>
  </si>
  <si>
    <t>Peyto Lake\Sunwapta Falls</t>
  </si>
  <si>
    <t>Whistlers Mountain</t>
  </si>
  <si>
    <t>Five Lakes</t>
  </si>
  <si>
    <t>Patricia Lake</t>
  </si>
  <si>
    <t>Patricia Lake|Maligne Canyon</t>
  </si>
  <si>
    <t>Hanchurch Hills</t>
  </si>
  <si>
    <t>Craven Arms</t>
  </si>
  <si>
    <t>Colwyn Bay</t>
  </si>
  <si>
    <t>Moel Wnion &amp; Aber Falls</t>
  </si>
  <si>
    <t>Fradswell</t>
  </si>
  <si>
    <t>Those Blue Hills</t>
  </si>
  <si>
    <t>Malham Circuit</t>
  </si>
  <si>
    <t>Kirkby Malham</t>
  </si>
  <si>
    <t>Lyth Hill</t>
  </si>
  <si>
    <t>SR</t>
  </si>
  <si>
    <t>Warslow</t>
  </si>
  <si>
    <t>Ellastone &amp; Weaver Hills</t>
  </si>
  <si>
    <t>Swinfen</t>
  </si>
  <si>
    <t>Whiston</t>
  </si>
  <si>
    <t>Caer Caradoc</t>
  </si>
  <si>
    <t>BW\BM\MC</t>
  </si>
  <si>
    <t>Hanbury Hills</t>
  </si>
  <si>
    <t xml:space="preserve">SRG </t>
  </si>
  <si>
    <t>Berkswich</t>
  </si>
  <si>
    <t>Gun &amp; the Roaches</t>
  </si>
  <si>
    <t>Alton</t>
  </si>
  <si>
    <t>BHW/CWD</t>
  </si>
  <si>
    <t>Wills Neck</t>
  </si>
  <si>
    <t>BHW</t>
  </si>
  <si>
    <t>Selworthy Beacon</t>
  </si>
  <si>
    <t>Dunkery Beacon</t>
  </si>
  <si>
    <t>Doone Valley</t>
  </si>
  <si>
    <t>Sierra Aitana</t>
  </si>
  <si>
    <t>Sierra Bernia</t>
  </si>
  <si>
    <t>Font de Partagas</t>
  </si>
  <si>
    <t>Puig Campana</t>
  </si>
  <si>
    <t>Sierra Helada ridge</t>
  </si>
  <si>
    <t>Alport Castles</t>
  </si>
  <si>
    <t xml:space="preserve">Snowdon </t>
  </si>
  <si>
    <t>Foel Goch</t>
  </si>
  <si>
    <t>Kinder Downfall</t>
  </si>
  <si>
    <t>Shifnall</t>
  </si>
  <si>
    <t>Maesglase</t>
  </si>
  <si>
    <t>BHW/BM</t>
  </si>
  <si>
    <t>The Malverns</t>
  </si>
  <si>
    <t>The Moelwyns</t>
  </si>
  <si>
    <t>Karlsruhehutte</t>
  </si>
  <si>
    <t>Stuiben Falls</t>
  </si>
  <si>
    <t>Rotmoos Glacier</t>
  </si>
  <si>
    <t>Ferwall Valley</t>
  </si>
  <si>
    <t>Tiefenbach Panoramaweg</t>
  </si>
  <si>
    <t>Seenplatte</t>
  </si>
  <si>
    <t>Ziller Valley</t>
  </si>
  <si>
    <t>Filzenkogel</t>
  </si>
  <si>
    <t>Hintertux Glacier</t>
  </si>
  <si>
    <t>Zillergrundl</t>
  </si>
  <si>
    <t>Penken</t>
  </si>
  <si>
    <t>Ahorn Skilift</t>
  </si>
  <si>
    <t>Norbury</t>
  </si>
  <si>
    <t>Shropshire Union</t>
  </si>
  <si>
    <t>Staffordshire Millennium Way</t>
  </si>
  <si>
    <t>Wheaton Aston</t>
  </si>
  <si>
    <t>Aqualate</t>
  </si>
  <si>
    <t>The Rhinogs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</si>
</sst>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_)"/>
    <numFmt numFmtId="173" formatCode="0_)"/>
  </numFmts>
  <fonts count="4">
    <font>
      <sz val="10"/>
      <name val="Courier"/>
      <family val="0"/>
    </font>
    <font>
      <sz val="10"/>
      <name val="Arial"/>
      <family val="0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55"/>
  <sheetViews>
    <sheetView showGridLines="0" tabSelected="1" zoomScale="80" zoomScaleNormal="80" workbookViewId="0" topLeftCell="A3">
      <pane ySplit="2" topLeftCell="BM636" activePane="bottomLeft" state="frozen"/>
      <selection pane="topLeft" activeCell="A3" sqref="A3"/>
      <selection pane="bottomLeft" activeCell="B657" sqref="B657"/>
    </sheetView>
  </sheetViews>
  <sheetFormatPr defaultColWidth="9.625" defaultRowHeight="12.75"/>
  <cols>
    <col min="1" max="1" width="4.625" style="2" customWidth="1"/>
    <col min="2" max="2" width="12.625" style="2" customWidth="1"/>
    <col min="3" max="3" width="10.25390625" style="2" customWidth="1"/>
    <col min="4" max="4" width="28.50390625" style="2" customWidth="1"/>
    <col min="5" max="5" width="9.125" style="2" customWidth="1"/>
    <col min="6" max="6" width="8.25390625" style="2" customWidth="1"/>
    <col min="7" max="7" width="10.375" style="2" customWidth="1"/>
    <col min="8" max="8" width="6.50390625" style="2" customWidth="1"/>
    <col min="9" max="14" width="4.625" style="2" customWidth="1"/>
    <col min="15" max="16384" width="10.25390625" style="2" customWidth="1"/>
  </cols>
  <sheetData>
    <row r="1" ht="12.75">
      <c r="C1" s="1" t="s">
        <v>1</v>
      </c>
    </row>
    <row r="3" spans="2:7" ht="12.75">
      <c r="B3" s="4" t="s">
        <v>2</v>
      </c>
      <c r="C3" s="1" t="s">
        <v>3</v>
      </c>
      <c r="D3" s="1" t="s">
        <v>4</v>
      </c>
      <c r="E3" s="5" t="s">
        <v>5</v>
      </c>
      <c r="F3" s="5" t="s">
        <v>6</v>
      </c>
      <c r="G3" s="5" t="s">
        <v>7</v>
      </c>
    </row>
    <row r="4" spans="5:7" ht="12.75">
      <c r="E4" s="5" t="s">
        <v>8</v>
      </c>
      <c r="F4" s="5" t="s">
        <v>5</v>
      </c>
      <c r="G4" s="5" t="s">
        <v>5</v>
      </c>
    </row>
    <row r="5" spans="1:7" ht="12.75">
      <c r="A5" s="3">
        <v>1</v>
      </c>
      <c r="B5" s="6">
        <f>DATE(92,5,26)</f>
        <v>33750</v>
      </c>
      <c r="C5" s="1" t="s">
        <v>9</v>
      </c>
      <c r="D5" s="1" t="s">
        <v>10</v>
      </c>
      <c r="E5" s="3">
        <v>18</v>
      </c>
      <c r="F5" s="3">
        <f>SUM($E$5)</f>
        <v>18</v>
      </c>
      <c r="G5" s="3">
        <f>SUM($E$5)</f>
        <v>18</v>
      </c>
    </row>
    <row r="6" spans="1:7" ht="12.75">
      <c r="A6" s="3">
        <v>2</v>
      </c>
      <c r="B6" s="6">
        <f>DATE(92,8,12)</f>
        <v>33828</v>
      </c>
      <c r="C6" s="1" t="s">
        <v>11</v>
      </c>
      <c r="D6" s="1" t="s">
        <v>12</v>
      </c>
      <c r="E6" s="3">
        <v>12</v>
      </c>
      <c r="F6" s="3">
        <f>SUM(E$5:$E6)</f>
        <v>30</v>
      </c>
      <c r="G6" s="3">
        <f>SUM(E$5:$E6)</f>
        <v>30</v>
      </c>
    </row>
    <row r="7" spans="1:7" ht="12.75">
      <c r="A7" s="3">
        <v>3</v>
      </c>
      <c r="B7" s="6">
        <f>DATE(92,8,16)</f>
        <v>33832</v>
      </c>
      <c r="C7" s="1" t="s">
        <v>13</v>
      </c>
      <c r="D7" s="1" t="s">
        <v>14</v>
      </c>
      <c r="E7" s="3">
        <v>12</v>
      </c>
      <c r="F7" s="3">
        <f>SUM(E$5:$E7)</f>
        <v>42</v>
      </c>
      <c r="G7" s="3">
        <f>SUM(E$5:$E7)</f>
        <v>42</v>
      </c>
    </row>
    <row r="8" spans="1:7" ht="12.75">
      <c r="A8" s="3">
        <v>4</v>
      </c>
      <c r="B8" s="6">
        <f>DATE(92,8,19)</f>
        <v>33835</v>
      </c>
      <c r="C8" s="1" t="s">
        <v>15</v>
      </c>
      <c r="D8" s="1" t="s">
        <v>16</v>
      </c>
      <c r="E8" s="3">
        <v>10</v>
      </c>
      <c r="F8" s="3">
        <f>SUM(E$5:$E8)</f>
        <v>52</v>
      </c>
      <c r="G8" s="3">
        <f>SUM(E$5:$E8)</f>
        <v>52</v>
      </c>
    </row>
    <row r="9" spans="1:7" ht="12.75">
      <c r="A9" s="3">
        <v>5</v>
      </c>
      <c r="B9" s="6">
        <f>DATE(92,9,12)</f>
        <v>33859</v>
      </c>
      <c r="C9" s="1" t="s">
        <v>17</v>
      </c>
      <c r="D9" s="1" t="s">
        <v>18</v>
      </c>
      <c r="E9" s="3">
        <v>6</v>
      </c>
      <c r="F9" s="3">
        <f>SUM(E$5:$E9)</f>
        <v>58</v>
      </c>
      <c r="G9" s="3">
        <f>SUM(E$5:$E9)</f>
        <v>58</v>
      </c>
    </row>
    <row r="10" spans="1:7" ht="12.75">
      <c r="A10" s="3">
        <v>6</v>
      </c>
      <c r="B10" s="6">
        <f>DATE(92,9,19)</f>
        <v>33866</v>
      </c>
      <c r="C10" s="1" t="s">
        <v>19</v>
      </c>
      <c r="D10" s="1" t="s">
        <v>20</v>
      </c>
      <c r="E10" s="3">
        <v>9</v>
      </c>
      <c r="F10" s="3">
        <f>SUM(E$5:$E10)</f>
        <v>67</v>
      </c>
      <c r="G10" s="3">
        <f>SUM(E$5:$E10)</f>
        <v>67</v>
      </c>
    </row>
    <row r="11" spans="1:7" ht="12.75">
      <c r="A11" s="3">
        <v>7</v>
      </c>
      <c r="B11" s="6">
        <f>DATE(92,9,20)</f>
        <v>33867</v>
      </c>
      <c r="C11" s="1" t="s">
        <v>17</v>
      </c>
      <c r="D11" s="1" t="s">
        <v>21</v>
      </c>
      <c r="E11" s="3">
        <v>10</v>
      </c>
      <c r="F11" s="3">
        <f>SUM(E$5:$E11)</f>
        <v>77</v>
      </c>
      <c r="G11" s="3">
        <f>SUM(E$5:$E11)</f>
        <v>77</v>
      </c>
    </row>
    <row r="12" spans="1:7" ht="12.75">
      <c r="A12" s="3">
        <v>8</v>
      </c>
      <c r="B12" s="6">
        <f>DATE(92,10,4)</f>
        <v>33881</v>
      </c>
      <c r="C12" s="1" t="s">
        <v>17</v>
      </c>
      <c r="D12" s="1" t="s">
        <v>22</v>
      </c>
      <c r="E12" s="3">
        <v>10</v>
      </c>
      <c r="F12" s="3">
        <f>SUM(E$5:$E12)</f>
        <v>87</v>
      </c>
      <c r="G12" s="3">
        <f>SUM(E$5:$E12)</f>
        <v>87</v>
      </c>
    </row>
    <row r="13" spans="1:7" ht="12.75">
      <c r="A13" s="3">
        <v>9</v>
      </c>
      <c r="B13" s="6">
        <f>DATE(92,10,11)</f>
        <v>33888</v>
      </c>
      <c r="C13" s="1" t="s">
        <v>17</v>
      </c>
      <c r="D13" s="1" t="s">
        <v>23</v>
      </c>
      <c r="E13" s="3">
        <v>5</v>
      </c>
      <c r="F13" s="3">
        <f>SUM(E$5:$E13)</f>
        <v>92</v>
      </c>
      <c r="G13" s="3">
        <f>SUM(E$5:$E13)</f>
        <v>92</v>
      </c>
    </row>
    <row r="14" spans="1:7" ht="12.75">
      <c r="A14" s="3">
        <v>10</v>
      </c>
      <c r="B14" s="6">
        <f>DATE(92,10,18)</f>
        <v>33895</v>
      </c>
      <c r="C14" s="1" t="s">
        <v>17</v>
      </c>
      <c r="D14" s="1" t="s">
        <v>24</v>
      </c>
      <c r="E14" s="3">
        <v>10</v>
      </c>
      <c r="F14" s="3">
        <f>SUM(E$5:$E14)</f>
        <v>102</v>
      </c>
      <c r="G14" s="3">
        <f>SUM(E$5:$E14)</f>
        <v>102</v>
      </c>
    </row>
    <row r="15" spans="1:7" ht="12.75">
      <c r="A15" s="3">
        <v>11</v>
      </c>
      <c r="B15" s="6">
        <f>DATE(92,10,25)</f>
        <v>33902</v>
      </c>
      <c r="C15" s="1" t="s">
        <v>17</v>
      </c>
      <c r="D15" s="1" t="s">
        <v>25</v>
      </c>
      <c r="E15" s="3">
        <v>5</v>
      </c>
      <c r="F15" s="3">
        <f>SUM(E$5:$E15)</f>
        <v>107</v>
      </c>
      <c r="G15" s="3">
        <f>SUM(E$5:$E15)</f>
        <v>107</v>
      </c>
    </row>
    <row r="16" spans="1:7" ht="12.75">
      <c r="A16" s="3">
        <v>12</v>
      </c>
      <c r="B16" s="6">
        <f>DATE(92,10,30)</f>
        <v>33907</v>
      </c>
      <c r="C16" s="1" t="s">
        <v>15</v>
      </c>
      <c r="D16" s="1" t="s">
        <v>26</v>
      </c>
      <c r="E16" s="3">
        <v>15</v>
      </c>
      <c r="F16" s="3">
        <f>SUM(E$5:$E16)</f>
        <v>122</v>
      </c>
      <c r="G16" s="3">
        <f>SUM(E$5:$E16)</f>
        <v>122</v>
      </c>
    </row>
    <row r="17" spans="1:7" ht="12.75">
      <c r="A17" s="3">
        <v>13</v>
      </c>
      <c r="B17" s="6">
        <f>DATE(92,11,8)</f>
        <v>33916</v>
      </c>
      <c r="C17" s="1" t="s">
        <v>17</v>
      </c>
      <c r="D17" s="1" t="s">
        <v>27</v>
      </c>
      <c r="E17" s="3">
        <v>5</v>
      </c>
      <c r="F17" s="3">
        <f>SUM(E$5:$E17)</f>
        <v>127</v>
      </c>
      <c r="G17" s="3">
        <f>SUM(E$5:$E17)</f>
        <v>127</v>
      </c>
    </row>
    <row r="18" spans="1:7" ht="12.75">
      <c r="A18" s="3">
        <v>14</v>
      </c>
      <c r="B18" s="6">
        <f>DATE(92,11,15)</f>
        <v>33923</v>
      </c>
      <c r="C18" s="1" t="s">
        <v>17</v>
      </c>
      <c r="D18" s="1" t="s">
        <v>28</v>
      </c>
      <c r="E18" s="3">
        <v>10</v>
      </c>
      <c r="F18" s="3">
        <f>SUM(E$5:$E18)</f>
        <v>137</v>
      </c>
      <c r="G18" s="3">
        <f>SUM(E$5:$E18)</f>
        <v>137</v>
      </c>
    </row>
    <row r="19" spans="1:7" ht="12.75">
      <c r="A19" s="3">
        <v>15</v>
      </c>
      <c r="B19" s="6">
        <f>DATE(92,11,29)</f>
        <v>33937</v>
      </c>
      <c r="C19" s="1" t="s">
        <v>17</v>
      </c>
      <c r="D19" s="1" t="s">
        <v>29</v>
      </c>
      <c r="E19" s="3">
        <v>9</v>
      </c>
      <c r="F19" s="3">
        <f>SUM(E$5:$E19)</f>
        <v>146</v>
      </c>
      <c r="G19" s="3">
        <f>SUM(E$5:$E19)</f>
        <v>146</v>
      </c>
    </row>
    <row r="20" spans="1:7" ht="12.75">
      <c r="A20" s="3">
        <v>16</v>
      </c>
      <c r="B20" s="6">
        <f>DATE(92,12,6)</f>
        <v>33944</v>
      </c>
      <c r="C20" s="1" t="s">
        <v>17</v>
      </c>
      <c r="D20" s="1" t="s">
        <v>30</v>
      </c>
      <c r="E20" s="3">
        <v>5</v>
      </c>
      <c r="F20" s="3">
        <f>SUM(E$5:$E20)</f>
        <v>151</v>
      </c>
      <c r="G20" s="3">
        <f>SUM(E$5:$E20)</f>
        <v>151</v>
      </c>
    </row>
    <row r="21" spans="1:7" ht="12.75">
      <c r="A21" s="3">
        <v>17</v>
      </c>
      <c r="B21" s="6">
        <f>DATE(92,12,13)</f>
        <v>33951</v>
      </c>
      <c r="C21" s="1" t="s">
        <v>17</v>
      </c>
      <c r="D21" s="1" t="s">
        <v>31</v>
      </c>
      <c r="E21" s="3">
        <v>10</v>
      </c>
      <c r="F21" s="3">
        <f>SUM(E$5:$E21)</f>
        <v>161</v>
      </c>
      <c r="G21" s="3">
        <f>SUM(E$5:$E21)</f>
        <v>161</v>
      </c>
    </row>
    <row r="22" spans="1:7" ht="12.75">
      <c r="A22" s="3">
        <v>18</v>
      </c>
      <c r="B22" s="6">
        <f>DATE(92,12,20)</f>
        <v>33958</v>
      </c>
      <c r="C22" s="1" t="s">
        <v>17</v>
      </c>
      <c r="D22" s="1" t="s">
        <v>32</v>
      </c>
      <c r="E22" s="3">
        <v>5</v>
      </c>
      <c r="F22" s="3">
        <f>SUM(E$5:$E22)</f>
        <v>166</v>
      </c>
      <c r="G22" s="3">
        <f>SUM(E$5:$E22)</f>
        <v>166</v>
      </c>
    </row>
    <row r="23" spans="1:7" ht="12.75">
      <c r="A23" s="3">
        <v>19</v>
      </c>
      <c r="B23" s="6">
        <f>DATE(92,12,26)</f>
        <v>33964</v>
      </c>
      <c r="C23" s="1" t="s">
        <v>17</v>
      </c>
      <c r="D23" s="1" t="s">
        <v>16</v>
      </c>
      <c r="E23" s="3">
        <v>8</v>
      </c>
      <c r="F23" s="3">
        <f>SUM(E$5:$E23)</f>
        <v>174</v>
      </c>
      <c r="G23" s="3">
        <f>SUM(E$5:$E23)</f>
        <v>174</v>
      </c>
    </row>
    <row r="24" spans="1:7" ht="12.75">
      <c r="A24" s="3">
        <v>20</v>
      </c>
      <c r="B24" s="6">
        <f>DATE(92,12,27)</f>
        <v>33965</v>
      </c>
      <c r="C24" s="1" t="s">
        <v>17</v>
      </c>
      <c r="D24" s="1" t="s">
        <v>33</v>
      </c>
      <c r="E24" s="3">
        <v>10</v>
      </c>
      <c r="F24" s="3">
        <f>SUM(E$5:$E24)</f>
        <v>184</v>
      </c>
      <c r="G24" s="3">
        <f>SUM(E$5:$E24)</f>
        <v>184</v>
      </c>
    </row>
    <row r="25" spans="1:7" ht="12.75">
      <c r="A25" s="3">
        <v>21</v>
      </c>
      <c r="B25" s="6">
        <f>DATE(93,1,2)</f>
        <v>33971</v>
      </c>
      <c r="C25" s="1" t="s">
        <v>9</v>
      </c>
      <c r="D25" s="1" t="s">
        <v>34</v>
      </c>
      <c r="E25" s="3">
        <v>13</v>
      </c>
      <c r="F25" s="3">
        <f>SUM(E$5:$E25)</f>
        <v>197</v>
      </c>
      <c r="G25" s="3">
        <f>SUM($E$25)</f>
        <v>13</v>
      </c>
    </row>
    <row r="26" spans="1:7" ht="12.75">
      <c r="A26" s="3">
        <v>22</v>
      </c>
      <c r="B26" s="6">
        <f>DATE(93,1,3)</f>
        <v>33972</v>
      </c>
      <c r="C26" s="1" t="s">
        <v>17</v>
      </c>
      <c r="D26" s="1" t="s">
        <v>35</v>
      </c>
      <c r="E26" s="3">
        <v>5</v>
      </c>
      <c r="F26" s="3">
        <f>SUM(E$5:$E26)</f>
        <v>202</v>
      </c>
      <c r="G26" s="3">
        <f>SUM(E$25:$E26)</f>
        <v>18</v>
      </c>
    </row>
    <row r="27" spans="1:7" ht="12.75">
      <c r="A27" s="3">
        <v>23</v>
      </c>
      <c r="B27" s="6">
        <f>DATE(93,1,10)</f>
        <v>33979</v>
      </c>
      <c r="C27" s="1" t="s">
        <v>17</v>
      </c>
      <c r="D27" s="1" t="s">
        <v>36</v>
      </c>
      <c r="E27" s="3">
        <v>12</v>
      </c>
      <c r="F27" s="3">
        <f>SUM(E$5:$E27)</f>
        <v>214</v>
      </c>
      <c r="G27" s="3">
        <f>SUM(E$25:$E27)</f>
        <v>30</v>
      </c>
    </row>
    <row r="28" spans="1:7" ht="12.75">
      <c r="A28" s="3">
        <v>24</v>
      </c>
      <c r="B28" s="6">
        <f>DATE(93,1,17)</f>
        <v>33986</v>
      </c>
      <c r="C28" s="1" t="s">
        <v>17</v>
      </c>
      <c r="D28" s="1" t="s">
        <v>37</v>
      </c>
      <c r="E28" s="3">
        <v>5</v>
      </c>
      <c r="F28" s="3">
        <f>SUM(E$5:$E28)</f>
        <v>219</v>
      </c>
      <c r="G28" s="3">
        <f>SUM(E$25:$E28)</f>
        <v>35</v>
      </c>
    </row>
    <row r="29" spans="1:7" ht="12.75">
      <c r="A29" s="3">
        <v>25</v>
      </c>
      <c r="B29" s="6">
        <f>DATE(93,1,24)</f>
        <v>33993</v>
      </c>
      <c r="C29" s="1" t="s">
        <v>17</v>
      </c>
      <c r="D29" s="1" t="s">
        <v>38</v>
      </c>
      <c r="E29" s="3">
        <v>10</v>
      </c>
      <c r="F29" s="3">
        <f>SUM(E$5:$E29)</f>
        <v>229</v>
      </c>
      <c r="G29" s="3">
        <f>SUM(E$25:$E29)</f>
        <v>45</v>
      </c>
    </row>
    <row r="30" spans="1:7" ht="12.75">
      <c r="A30" s="3">
        <v>26</v>
      </c>
      <c r="B30" s="6">
        <f>DATE(93,1,31)</f>
        <v>34000</v>
      </c>
      <c r="C30" s="1" t="s">
        <v>39</v>
      </c>
      <c r="D30" s="1" t="s">
        <v>40</v>
      </c>
      <c r="E30" s="3">
        <v>18</v>
      </c>
      <c r="F30" s="3">
        <f>SUM(E$5:$E30)</f>
        <v>247</v>
      </c>
      <c r="G30" s="3">
        <f>SUM(E$25:$E30)</f>
        <v>63</v>
      </c>
    </row>
    <row r="31" spans="1:7" ht="12.75">
      <c r="A31" s="3">
        <v>27</v>
      </c>
      <c r="B31" s="6">
        <f>DATE(93,2,7)</f>
        <v>34007</v>
      </c>
      <c r="C31" s="1" t="s">
        <v>17</v>
      </c>
      <c r="D31" s="1" t="s">
        <v>41</v>
      </c>
      <c r="E31" s="3">
        <v>10</v>
      </c>
      <c r="F31" s="3">
        <f>SUM(E$5:$E31)</f>
        <v>257</v>
      </c>
      <c r="G31" s="3">
        <f>SUM(E$25:$E31)</f>
        <v>73</v>
      </c>
    </row>
    <row r="32" spans="1:7" ht="12.75">
      <c r="A32" s="3">
        <v>28</v>
      </c>
      <c r="B32" s="6">
        <f>DATE(93,2,16)</f>
        <v>34016</v>
      </c>
      <c r="C32" s="1" t="s">
        <v>17</v>
      </c>
      <c r="D32" s="1" t="s">
        <v>42</v>
      </c>
      <c r="E32" s="3">
        <v>5</v>
      </c>
      <c r="F32" s="3">
        <f>SUM(E$5:$E32)</f>
        <v>262</v>
      </c>
      <c r="G32" s="3">
        <f>SUM(E$25:$E32)</f>
        <v>78</v>
      </c>
    </row>
    <row r="33" spans="1:7" ht="12.75">
      <c r="A33" s="3">
        <v>29</v>
      </c>
      <c r="B33" s="6">
        <f>DATE(93,2,19)</f>
        <v>34019</v>
      </c>
      <c r="C33" s="1" t="s">
        <v>9</v>
      </c>
      <c r="D33" s="1" t="s">
        <v>43</v>
      </c>
      <c r="E33" s="3">
        <v>16</v>
      </c>
      <c r="F33" s="3">
        <f>SUM(E$5:$E33)</f>
        <v>278</v>
      </c>
      <c r="G33" s="3">
        <f>SUM(E$25:$E33)</f>
        <v>94</v>
      </c>
    </row>
    <row r="34" spans="1:7" ht="12.75">
      <c r="A34" s="3">
        <v>30</v>
      </c>
      <c r="B34" s="6">
        <f>DATE(93,2,21)</f>
        <v>34021</v>
      </c>
      <c r="C34" s="1" t="s">
        <v>17</v>
      </c>
      <c r="D34" s="1" t="s">
        <v>44</v>
      </c>
      <c r="E34" s="3">
        <v>8</v>
      </c>
      <c r="F34" s="3">
        <f>SUM(E$5:$E34)</f>
        <v>286</v>
      </c>
      <c r="G34" s="3">
        <f>SUM(E$25:$E34)</f>
        <v>102</v>
      </c>
    </row>
    <row r="35" spans="1:7" ht="12.75">
      <c r="A35" s="3">
        <v>31</v>
      </c>
      <c r="B35" s="6">
        <f>DATE(93,2,28)</f>
        <v>34028</v>
      </c>
      <c r="C35" s="1" t="s">
        <v>17</v>
      </c>
      <c r="D35" s="1" t="s">
        <v>45</v>
      </c>
      <c r="E35" s="3">
        <v>5</v>
      </c>
      <c r="F35" s="3">
        <f>SUM(E$5:$E35)</f>
        <v>291</v>
      </c>
      <c r="G35" s="3">
        <f>SUM(E$25:$E35)</f>
        <v>107</v>
      </c>
    </row>
    <row r="36" spans="1:7" ht="12.75">
      <c r="A36" s="3">
        <v>32</v>
      </c>
      <c r="B36" s="6">
        <f>DATE(93,3,6)</f>
        <v>34034</v>
      </c>
      <c r="C36" s="1" t="s">
        <v>17</v>
      </c>
      <c r="D36" s="1" t="s">
        <v>46</v>
      </c>
      <c r="E36" s="3">
        <v>12</v>
      </c>
      <c r="F36" s="3">
        <f>SUM(E$5:$E36)</f>
        <v>303</v>
      </c>
      <c r="G36" s="3">
        <f>SUM(E$25:$E36)</f>
        <v>119</v>
      </c>
    </row>
    <row r="37" spans="1:7" ht="12.75">
      <c r="A37" s="3">
        <v>33</v>
      </c>
      <c r="B37" s="6">
        <f>DATE(93,3,13)</f>
        <v>34041</v>
      </c>
      <c r="C37" s="1" t="s">
        <v>17</v>
      </c>
      <c r="D37" s="1" t="s">
        <v>47</v>
      </c>
      <c r="E37" s="3">
        <v>5</v>
      </c>
      <c r="F37" s="3">
        <f>SUM(E$5:$E37)</f>
        <v>308</v>
      </c>
      <c r="G37" s="3">
        <f>SUM(E$25:$E37)</f>
        <v>124</v>
      </c>
    </row>
    <row r="38" spans="1:7" ht="12.75">
      <c r="A38" s="3">
        <v>34</v>
      </c>
      <c r="B38" s="6">
        <f>DATE(93,3,21)</f>
        <v>34049</v>
      </c>
      <c r="C38" s="1" t="s">
        <v>17</v>
      </c>
      <c r="D38" s="1" t="s">
        <v>48</v>
      </c>
      <c r="E38" s="3">
        <v>12</v>
      </c>
      <c r="F38" s="3">
        <f>SUM(E$5:$E38)</f>
        <v>320</v>
      </c>
      <c r="G38" s="3">
        <f>SUM(E$25:$E38)</f>
        <v>136</v>
      </c>
    </row>
    <row r="39" spans="1:7" ht="12.75">
      <c r="A39" s="3">
        <v>35</v>
      </c>
      <c r="B39" s="6">
        <f>DATE(93,3,28)</f>
        <v>34056</v>
      </c>
      <c r="C39" s="1" t="s">
        <v>49</v>
      </c>
      <c r="D39" s="1" t="s">
        <v>50</v>
      </c>
      <c r="E39" s="3">
        <v>5</v>
      </c>
      <c r="F39" s="3">
        <f>SUM(E$5:$E39)</f>
        <v>325</v>
      </c>
      <c r="G39" s="3">
        <f>SUM(E$25:$E39)</f>
        <v>141</v>
      </c>
    </row>
    <row r="40" spans="1:7" ht="12.75">
      <c r="A40" s="3">
        <v>36</v>
      </c>
      <c r="B40" s="6">
        <f>DATE(93,4,4)</f>
        <v>34063</v>
      </c>
      <c r="C40" s="1" t="s">
        <v>17</v>
      </c>
      <c r="D40" s="1" t="s">
        <v>51</v>
      </c>
      <c r="E40" s="3">
        <v>11</v>
      </c>
      <c r="F40" s="3">
        <f>SUM(E$5:$E40)</f>
        <v>336</v>
      </c>
      <c r="G40" s="3">
        <f>SUM(E$25:$E40)</f>
        <v>152</v>
      </c>
    </row>
    <row r="41" spans="1:7" ht="12.75">
      <c r="A41" s="3">
        <v>37</v>
      </c>
      <c r="B41" s="6">
        <f>DATE(93,4,9)</f>
        <v>34068</v>
      </c>
      <c r="C41" s="1" t="s">
        <v>52</v>
      </c>
      <c r="D41" s="1" t="s">
        <v>53</v>
      </c>
      <c r="E41" s="3">
        <v>7</v>
      </c>
      <c r="F41" s="3">
        <f>SUM(E$5:$E41)</f>
        <v>343</v>
      </c>
      <c r="G41" s="3">
        <f>SUM(E$25:$E41)</f>
        <v>159</v>
      </c>
    </row>
    <row r="42" spans="1:7" ht="12.75">
      <c r="A42" s="3">
        <v>38</v>
      </c>
      <c r="B42" s="6">
        <f>DATE(93,4,11)</f>
        <v>34070</v>
      </c>
      <c r="C42" s="1" t="s">
        <v>17</v>
      </c>
      <c r="D42" s="1" t="s">
        <v>54</v>
      </c>
      <c r="E42" s="3">
        <v>6</v>
      </c>
      <c r="F42" s="3">
        <f>SUM(E$5:$E42)</f>
        <v>349</v>
      </c>
      <c r="G42" s="3">
        <f>SUM(E$25:$E42)</f>
        <v>165</v>
      </c>
    </row>
    <row r="43" spans="1:7" ht="12.75">
      <c r="A43" s="3">
        <v>39</v>
      </c>
      <c r="B43" s="6">
        <f>DATE(93,4,12)</f>
        <v>34071</v>
      </c>
      <c r="C43" s="1" t="s">
        <v>55</v>
      </c>
      <c r="D43" s="1" t="s">
        <v>56</v>
      </c>
      <c r="E43" s="3">
        <v>5</v>
      </c>
      <c r="F43" s="3">
        <f>SUM(E$5:$E43)</f>
        <v>354</v>
      </c>
      <c r="G43" s="3">
        <f>SUM(E$25:$E43)</f>
        <v>170</v>
      </c>
    </row>
    <row r="44" spans="1:7" ht="12.75">
      <c r="A44" s="3">
        <v>40</v>
      </c>
      <c r="B44" s="6">
        <f>DATE(93,4,16)</f>
        <v>34075</v>
      </c>
      <c r="C44" s="1" t="s">
        <v>17</v>
      </c>
      <c r="D44" s="1" t="s">
        <v>57</v>
      </c>
      <c r="E44" s="3">
        <v>8</v>
      </c>
      <c r="F44" s="3">
        <f>SUM(E$5:$E44)</f>
        <v>362</v>
      </c>
      <c r="G44" s="3">
        <f>SUM(E$25:$E44)</f>
        <v>178</v>
      </c>
    </row>
    <row r="45" spans="1:7" ht="12.75">
      <c r="A45" s="3">
        <v>41</v>
      </c>
      <c r="B45" s="6">
        <f>DATE(93,4,17)</f>
        <v>34076</v>
      </c>
      <c r="C45" s="1" t="s">
        <v>17</v>
      </c>
      <c r="D45" s="1" t="s">
        <v>58</v>
      </c>
      <c r="E45" s="3">
        <v>15</v>
      </c>
      <c r="F45" s="3">
        <f>SUM(E$5:$E45)</f>
        <v>377</v>
      </c>
      <c r="G45" s="3">
        <f>SUM(E$25:$E45)</f>
        <v>193</v>
      </c>
    </row>
    <row r="46" spans="1:7" ht="12.75">
      <c r="A46" s="3">
        <v>42</v>
      </c>
      <c r="B46" s="6">
        <f>DATE(93,4,18)</f>
        <v>34077</v>
      </c>
      <c r="C46" s="1" t="s">
        <v>17</v>
      </c>
      <c r="D46" s="1" t="s">
        <v>59</v>
      </c>
      <c r="E46" s="3">
        <v>10</v>
      </c>
      <c r="F46" s="3">
        <f>SUM(E$5:$E46)</f>
        <v>387</v>
      </c>
      <c r="G46" s="3">
        <f>SUM(E$25:$E46)</f>
        <v>203</v>
      </c>
    </row>
    <row r="47" spans="1:7" ht="12.75">
      <c r="A47" s="3">
        <v>43</v>
      </c>
      <c r="B47" s="6">
        <f>DATE(93,4,25)</f>
        <v>34084</v>
      </c>
      <c r="C47" s="1" t="s">
        <v>49</v>
      </c>
      <c r="D47" s="1" t="s">
        <v>60</v>
      </c>
      <c r="E47" s="3">
        <v>5</v>
      </c>
      <c r="F47" s="3">
        <f>SUM(E$5:$E47)</f>
        <v>392</v>
      </c>
      <c r="G47" s="3">
        <f>SUM(E$25:$E47)</f>
        <v>208</v>
      </c>
    </row>
    <row r="48" spans="1:7" ht="12.75">
      <c r="A48" s="3">
        <v>44</v>
      </c>
      <c r="B48" s="6">
        <f>DATE(93,5,2)</f>
        <v>34091</v>
      </c>
      <c r="C48" s="1" t="s">
        <v>49</v>
      </c>
      <c r="D48" s="1" t="s">
        <v>61</v>
      </c>
      <c r="E48" s="3">
        <v>9</v>
      </c>
      <c r="F48" s="3">
        <f>SUM(E$5:$E48)</f>
        <v>401</v>
      </c>
      <c r="G48" s="3">
        <f>SUM(E$25:$E48)</f>
        <v>217</v>
      </c>
    </row>
    <row r="49" spans="1:7" ht="12.75">
      <c r="A49" s="3">
        <v>45</v>
      </c>
      <c r="B49" s="6">
        <f>DATE(93,5,3)</f>
        <v>34092</v>
      </c>
      <c r="C49" s="1" t="s">
        <v>39</v>
      </c>
      <c r="D49" s="1" t="s">
        <v>62</v>
      </c>
      <c r="E49" s="3">
        <v>12</v>
      </c>
      <c r="F49" s="3">
        <f>SUM(E$5:$E49)</f>
        <v>413</v>
      </c>
      <c r="G49" s="3">
        <f>SUM(E$25:$E49)</f>
        <v>229</v>
      </c>
    </row>
    <row r="50" spans="1:7" ht="12.75">
      <c r="A50" s="3">
        <v>46</v>
      </c>
      <c r="B50" s="6">
        <f>DATE(93,5,10)</f>
        <v>34099</v>
      </c>
      <c r="C50" s="1" t="s">
        <v>49</v>
      </c>
      <c r="D50" s="1" t="s">
        <v>63</v>
      </c>
      <c r="E50" s="3">
        <v>6</v>
      </c>
      <c r="F50" s="3">
        <f>SUM(E$5:$E50)</f>
        <v>419</v>
      </c>
      <c r="G50" s="3">
        <f>SUM(E$25:$E50)</f>
        <v>235</v>
      </c>
    </row>
    <row r="51" spans="1:7" ht="12.75">
      <c r="A51" s="3">
        <v>47</v>
      </c>
      <c r="B51" s="6">
        <f>DATE(93,5,16)</f>
        <v>34105</v>
      </c>
      <c r="C51" s="1" t="s">
        <v>17</v>
      </c>
      <c r="D51" s="1" t="s">
        <v>64</v>
      </c>
      <c r="E51" s="3">
        <v>12</v>
      </c>
      <c r="F51" s="3">
        <f>SUM(E$5:$E51)</f>
        <v>431</v>
      </c>
      <c r="G51" s="3">
        <f>SUM(E$25:$E51)</f>
        <v>247</v>
      </c>
    </row>
    <row r="52" spans="1:7" ht="12.75">
      <c r="A52" s="3">
        <v>48</v>
      </c>
      <c r="B52" s="6">
        <f>DATE(93,5,23)</f>
        <v>34112</v>
      </c>
      <c r="C52" s="1" t="s">
        <v>17</v>
      </c>
      <c r="D52" s="1" t="s">
        <v>65</v>
      </c>
      <c r="E52" s="3">
        <v>6</v>
      </c>
      <c r="F52" s="3">
        <f>SUM(E$5:$E52)</f>
        <v>437</v>
      </c>
      <c r="G52" s="3">
        <f>SUM(E$25:$E52)</f>
        <v>253</v>
      </c>
    </row>
    <row r="53" spans="1:7" ht="12.75">
      <c r="A53" s="3">
        <v>49</v>
      </c>
      <c r="B53" s="6">
        <f>DATE(93,5,29)</f>
        <v>34118</v>
      </c>
      <c r="C53" s="1" t="s">
        <v>9</v>
      </c>
      <c r="D53" s="1" t="s">
        <v>66</v>
      </c>
      <c r="E53" s="3">
        <v>24</v>
      </c>
      <c r="F53" s="3">
        <f>SUM(E$5:$E53)</f>
        <v>461</v>
      </c>
      <c r="G53" s="3">
        <f>SUM(E$25:$E53)</f>
        <v>277</v>
      </c>
    </row>
    <row r="54" spans="1:7" ht="12.75">
      <c r="A54" s="3">
        <v>50</v>
      </c>
      <c r="B54" s="6">
        <f>DATE(93,5,30)</f>
        <v>34119</v>
      </c>
      <c r="C54" s="1" t="s">
        <v>17</v>
      </c>
      <c r="D54" s="1" t="s">
        <v>67</v>
      </c>
      <c r="E54" s="3">
        <v>12</v>
      </c>
      <c r="F54" s="3">
        <f>SUM(E$5:$E54)</f>
        <v>473</v>
      </c>
      <c r="G54" s="3">
        <f>SUM(E$25:$E54)</f>
        <v>289</v>
      </c>
    </row>
    <row r="55" spans="1:7" ht="12.75">
      <c r="A55" s="3">
        <v>51</v>
      </c>
      <c r="B55" s="6">
        <f>DATE(93,6,13)</f>
        <v>34133</v>
      </c>
      <c r="C55" s="1" t="s">
        <v>49</v>
      </c>
      <c r="D55" s="1" t="s">
        <v>68</v>
      </c>
      <c r="E55" s="3">
        <v>10</v>
      </c>
      <c r="F55" s="3">
        <f>SUM(E$5:$E55)</f>
        <v>483</v>
      </c>
      <c r="G55" s="3">
        <f>SUM(E$25:$E55)</f>
        <v>299</v>
      </c>
    </row>
    <row r="56" spans="1:7" ht="12.75">
      <c r="A56" s="3">
        <v>52</v>
      </c>
      <c r="B56" s="6">
        <f>DATE(93,6,27)</f>
        <v>34147</v>
      </c>
      <c r="C56" s="1" t="s">
        <v>69</v>
      </c>
      <c r="D56" s="1" t="s">
        <v>70</v>
      </c>
      <c r="E56" s="3">
        <v>11</v>
      </c>
      <c r="F56" s="3">
        <f>SUM(E$5:$E56)</f>
        <v>494</v>
      </c>
      <c r="G56" s="3">
        <f>SUM(E$25:$E56)</f>
        <v>310</v>
      </c>
    </row>
    <row r="57" spans="1:7" ht="12.75">
      <c r="A57" s="3">
        <v>53</v>
      </c>
      <c r="B57" s="6">
        <f>DATE(93,7,3)</f>
        <v>34153</v>
      </c>
      <c r="C57" s="1" t="s">
        <v>9</v>
      </c>
      <c r="D57" s="1" t="s">
        <v>71</v>
      </c>
      <c r="E57" s="3">
        <v>15</v>
      </c>
      <c r="F57" s="3">
        <f>SUM(E$5:$E57)</f>
        <v>509</v>
      </c>
      <c r="G57" s="3">
        <f>SUM(E$25:$E57)</f>
        <v>325</v>
      </c>
    </row>
    <row r="58" spans="1:7" ht="12.75">
      <c r="A58" s="3">
        <v>54</v>
      </c>
      <c r="B58" s="6">
        <f>DATE(93,7,11)</f>
        <v>34161</v>
      </c>
      <c r="C58" s="1" t="s">
        <v>17</v>
      </c>
      <c r="D58" s="1" t="s">
        <v>72</v>
      </c>
      <c r="E58" s="3">
        <v>10</v>
      </c>
      <c r="F58" s="3">
        <f>SUM(E$5:$E58)</f>
        <v>519</v>
      </c>
      <c r="G58" s="3">
        <f>SUM(E$25:$E58)</f>
        <v>335</v>
      </c>
    </row>
    <row r="59" spans="1:7" ht="12.75">
      <c r="A59" s="3">
        <v>55</v>
      </c>
      <c r="B59" s="6">
        <f>DATE(93,7,18)</f>
        <v>34168</v>
      </c>
      <c r="C59" s="1" t="s">
        <v>17</v>
      </c>
      <c r="D59" s="1" t="s">
        <v>73</v>
      </c>
      <c r="E59" s="3">
        <v>6</v>
      </c>
      <c r="F59" s="3">
        <f>SUM(E$5:$E59)</f>
        <v>525</v>
      </c>
      <c r="G59" s="3">
        <f>SUM(E$25:$E59)</f>
        <v>341</v>
      </c>
    </row>
    <row r="60" spans="1:7" ht="12.75">
      <c r="A60" s="3">
        <v>56</v>
      </c>
      <c r="B60" s="6">
        <f>DATE(93,7,25)</f>
        <v>34175</v>
      </c>
      <c r="C60" s="1" t="s">
        <v>74</v>
      </c>
      <c r="D60" s="1" t="s">
        <v>75</v>
      </c>
      <c r="E60" s="3">
        <v>6</v>
      </c>
      <c r="F60" s="3">
        <f>SUM(E$5:$E60)</f>
        <v>531</v>
      </c>
      <c r="G60" s="3">
        <f>SUM(E$25:$E60)</f>
        <v>347</v>
      </c>
    </row>
    <row r="61" spans="1:7" ht="12.75">
      <c r="A61" s="3">
        <v>57</v>
      </c>
      <c r="B61" s="6">
        <f>DATE(93,7,26)</f>
        <v>34176</v>
      </c>
      <c r="C61" s="1" t="s">
        <v>74</v>
      </c>
      <c r="D61" s="1" t="s">
        <v>76</v>
      </c>
      <c r="E61" s="3">
        <v>6</v>
      </c>
      <c r="F61" s="3">
        <f>SUM(E$5:$E61)</f>
        <v>537</v>
      </c>
      <c r="G61" s="3">
        <f>SUM(E$25:$E61)</f>
        <v>353</v>
      </c>
    </row>
    <row r="62" spans="1:7" ht="12.75">
      <c r="A62" s="3">
        <v>58</v>
      </c>
      <c r="B62" s="6">
        <f>DATE(93,7,27)</f>
        <v>34177</v>
      </c>
      <c r="C62" s="1" t="s">
        <v>74</v>
      </c>
      <c r="D62" s="1" t="s">
        <v>77</v>
      </c>
      <c r="E62" s="3">
        <v>6</v>
      </c>
      <c r="F62" s="3">
        <f>SUM(E$5:$E62)</f>
        <v>543</v>
      </c>
      <c r="G62" s="3">
        <f>SUM(E$25:$E62)</f>
        <v>359</v>
      </c>
    </row>
    <row r="63" spans="1:7" ht="12.75">
      <c r="A63" s="3">
        <v>59</v>
      </c>
      <c r="B63" s="6">
        <f>DATE(93,7,28)</f>
        <v>34178</v>
      </c>
      <c r="C63" s="1" t="s">
        <v>74</v>
      </c>
      <c r="D63" s="1" t="s">
        <v>78</v>
      </c>
      <c r="E63" s="3">
        <v>8</v>
      </c>
      <c r="F63" s="3">
        <f>SUM(E$5:$E63)</f>
        <v>551</v>
      </c>
      <c r="G63" s="3">
        <f>SUM(E$25:$E63)</f>
        <v>367</v>
      </c>
    </row>
    <row r="64" spans="1:7" ht="12.75">
      <c r="A64" s="3">
        <v>60</v>
      </c>
      <c r="B64" s="6">
        <f>DATE(93,7,29)</f>
        <v>34179</v>
      </c>
      <c r="C64" s="1" t="s">
        <v>79</v>
      </c>
      <c r="D64" s="1" t="s">
        <v>80</v>
      </c>
      <c r="E64" s="3">
        <v>10</v>
      </c>
      <c r="F64" s="3">
        <f>SUM(E$5:$E64)</f>
        <v>561</v>
      </c>
      <c r="G64" s="3">
        <f>SUM(E$25:$E64)</f>
        <v>377</v>
      </c>
    </row>
    <row r="65" spans="1:7" ht="12.75">
      <c r="A65" s="3">
        <v>61</v>
      </c>
      <c r="B65" s="6">
        <f>DATE(93,7,30)</f>
        <v>34180</v>
      </c>
      <c r="C65" s="1" t="s">
        <v>74</v>
      </c>
      <c r="D65" s="1" t="s">
        <v>81</v>
      </c>
      <c r="E65" s="3">
        <v>8</v>
      </c>
      <c r="F65" s="3">
        <f>SUM(E$5:$E65)</f>
        <v>569</v>
      </c>
      <c r="G65" s="3">
        <f>SUM(E$25:$E65)</f>
        <v>385</v>
      </c>
    </row>
    <row r="66" spans="1:7" ht="12.75">
      <c r="A66" s="3">
        <v>62</v>
      </c>
      <c r="B66" s="6">
        <f>DATE(93,7,31)</f>
        <v>34181</v>
      </c>
      <c r="C66" s="1" t="s">
        <v>74</v>
      </c>
      <c r="D66" s="1" t="s">
        <v>82</v>
      </c>
      <c r="E66" s="3">
        <v>8</v>
      </c>
      <c r="F66" s="3">
        <f>SUM(E$5:$E66)</f>
        <v>577</v>
      </c>
      <c r="G66" s="3">
        <f>SUM(E$25:$E66)</f>
        <v>393</v>
      </c>
    </row>
    <row r="67" spans="1:7" ht="12.75">
      <c r="A67" s="3">
        <v>63</v>
      </c>
      <c r="B67" s="6">
        <f>DATE(93,8,1)</f>
        <v>34182</v>
      </c>
      <c r="C67" s="1" t="s">
        <v>74</v>
      </c>
      <c r="D67" s="1" t="s">
        <v>83</v>
      </c>
      <c r="E67" s="3">
        <v>8</v>
      </c>
      <c r="F67" s="3">
        <f>SUM(E$5:$E67)</f>
        <v>585</v>
      </c>
      <c r="G67" s="3">
        <f>SUM(E$25:$E67)</f>
        <v>401</v>
      </c>
    </row>
    <row r="68" spans="1:7" ht="12.75">
      <c r="A68" s="3">
        <v>64</v>
      </c>
      <c r="B68" s="6">
        <f>DATE(93,8,2)</f>
        <v>34183</v>
      </c>
      <c r="C68" s="1" t="s">
        <v>74</v>
      </c>
      <c r="D68" s="1" t="s">
        <v>84</v>
      </c>
      <c r="E68" s="3">
        <v>6</v>
      </c>
      <c r="F68" s="3">
        <f>SUM(E$5:$E68)</f>
        <v>591</v>
      </c>
      <c r="G68" s="3">
        <f>SUM(E$25:$E68)</f>
        <v>407</v>
      </c>
    </row>
    <row r="69" spans="1:7" ht="12.75">
      <c r="A69" s="3">
        <v>65</v>
      </c>
      <c r="B69" s="6">
        <f>DATE(93,8,4)</f>
        <v>34185</v>
      </c>
      <c r="C69" s="1" t="s">
        <v>74</v>
      </c>
      <c r="D69" s="1" t="s">
        <v>85</v>
      </c>
      <c r="E69" s="3">
        <v>8</v>
      </c>
      <c r="F69" s="3">
        <f>SUM(E$5:$E69)</f>
        <v>599</v>
      </c>
      <c r="G69" s="3">
        <f>SUM(E$25:$E69)</f>
        <v>415</v>
      </c>
    </row>
    <row r="70" spans="1:7" ht="12.75">
      <c r="A70" s="3">
        <v>66</v>
      </c>
      <c r="B70" s="6">
        <f>DATE(93,8,5)</f>
        <v>34186</v>
      </c>
      <c r="C70" s="1" t="s">
        <v>74</v>
      </c>
      <c r="D70" s="1" t="s">
        <v>86</v>
      </c>
      <c r="E70" s="3">
        <v>15</v>
      </c>
      <c r="F70" s="3">
        <f>SUM(E$5:$E70)</f>
        <v>614</v>
      </c>
      <c r="G70" s="3">
        <f>SUM(E$25:$E70)</f>
        <v>430</v>
      </c>
    </row>
    <row r="71" spans="1:7" ht="12.75">
      <c r="A71" s="3">
        <v>67</v>
      </c>
      <c r="B71" s="6">
        <f>DATE(93,8,6)</f>
        <v>34187</v>
      </c>
      <c r="C71" s="1" t="s">
        <v>74</v>
      </c>
      <c r="D71" s="1" t="s">
        <v>87</v>
      </c>
      <c r="E71" s="3">
        <v>8</v>
      </c>
      <c r="F71" s="3">
        <f>SUM(E$5:$E71)</f>
        <v>622</v>
      </c>
      <c r="G71" s="3">
        <f>SUM(E$25:$E71)</f>
        <v>438</v>
      </c>
    </row>
    <row r="72" spans="1:7" ht="12.75">
      <c r="A72" s="3">
        <v>68</v>
      </c>
      <c r="B72" s="6">
        <f>DATE(93,8,14)</f>
        <v>34195</v>
      </c>
      <c r="C72" s="1" t="s">
        <v>39</v>
      </c>
      <c r="D72" s="1" t="s">
        <v>88</v>
      </c>
      <c r="E72" s="3">
        <v>10</v>
      </c>
      <c r="F72" s="3">
        <f>SUM(E$5:$E72)</f>
        <v>632</v>
      </c>
      <c r="G72" s="3">
        <f>SUM(E$25:$E72)</f>
        <v>448</v>
      </c>
    </row>
    <row r="73" spans="1:7" ht="12.75">
      <c r="A73" s="3">
        <v>69</v>
      </c>
      <c r="B73" s="6">
        <f>DATE(93,8,15)</f>
        <v>34196</v>
      </c>
      <c r="C73" s="1" t="s">
        <v>17</v>
      </c>
      <c r="D73" s="1" t="s">
        <v>89</v>
      </c>
      <c r="E73" s="3">
        <v>5</v>
      </c>
      <c r="F73" s="3">
        <f>SUM(E$5:$E73)</f>
        <v>637</v>
      </c>
      <c r="G73" s="3">
        <f>SUM(E$25:$E73)</f>
        <v>453</v>
      </c>
    </row>
    <row r="74" spans="1:7" ht="12.75">
      <c r="A74" s="3">
        <v>70</v>
      </c>
      <c r="B74" s="6">
        <f>DATE(93,8,21)</f>
        <v>34202</v>
      </c>
      <c r="C74" s="1" t="s">
        <v>39</v>
      </c>
      <c r="D74" s="1" t="s">
        <v>90</v>
      </c>
      <c r="E74" s="3">
        <v>25</v>
      </c>
      <c r="F74" s="3">
        <f>SUM(E$5:$E74)</f>
        <v>662</v>
      </c>
      <c r="G74" s="3">
        <f>SUM(E$25:$E74)</f>
        <v>478</v>
      </c>
    </row>
    <row r="75" spans="1:7" ht="12.75">
      <c r="A75" s="3">
        <v>71</v>
      </c>
      <c r="B75" s="6">
        <f>DATE(93,8,22)</f>
        <v>34203</v>
      </c>
      <c r="C75" s="1" t="s">
        <v>17</v>
      </c>
      <c r="D75" s="1" t="s">
        <v>91</v>
      </c>
      <c r="E75" s="3">
        <v>10</v>
      </c>
      <c r="F75" s="3">
        <f>SUM(E$5:$E75)</f>
        <v>672</v>
      </c>
      <c r="G75" s="3">
        <f>SUM(E$25:$E75)</f>
        <v>488</v>
      </c>
    </row>
    <row r="76" spans="1:7" ht="12.75">
      <c r="A76" s="3">
        <v>72</v>
      </c>
      <c r="B76" s="6">
        <f>DATE(93,8,28)</f>
        <v>34209</v>
      </c>
      <c r="C76" s="1" t="s">
        <v>39</v>
      </c>
      <c r="D76" s="1" t="s">
        <v>92</v>
      </c>
      <c r="E76" s="3">
        <v>10</v>
      </c>
      <c r="F76" s="3">
        <f>SUM(E$5:$E76)</f>
        <v>682</v>
      </c>
      <c r="G76" s="3">
        <f>SUM(E$25:$E76)</f>
        <v>498</v>
      </c>
    </row>
    <row r="77" spans="1:7" ht="12.75">
      <c r="A77" s="3">
        <v>73</v>
      </c>
      <c r="B77" s="6">
        <f>DATE(93,9,4)</f>
        <v>34216</v>
      </c>
      <c r="C77" s="1" t="s">
        <v>93</v>
      </c>
      <c r="D77" s="1" t="s">
        <v>94</v>
      </c>
      <c r="E77" s="3">
        <v>8</v>
      </c>
      <c r="F77" s="3">
        <f>SUM(E$5:$E77)</f>
        <v>690</v>
      </c>
      <c r="G77" s="3">
        <f>SUM(E$25:$E77)</f>
        <v>506</v>
      </c>
    </row>
    <row r="78" spans="1:7" ht="12.75">
      <c r="A78" s="3">
        <v>74</v>
      </c>
      <c r="B78" s="6">
        <f>DATE(93,9,5)</f>
        <v>34217</v>
      </c>
      <c r="C78" s="1" t="s">
        <v>93</v>
      </c>
      <c r="D78" s="1" t="s">
        <v>95</v>
      </c>
      <c r="E78" s="3">
        <v>5</v>
      </c>
      <c r="F78" s="3">
        <f>SUM(E$5:$E78)</f>
        <v>695</v>
      </c>
      <c r="G78" s="3">
        <f>SUM(E$25:$E78)</f>
        <v>511</v>
      </c>
    </row>
    <row r="79" spans="1:7" ht="12.75">
      <c r="A79" s="3">
        <v>75</v>
      </c>
      <c r="B79" s="6">
        <f>DATE(93,9,11)</f>
        <v>34223</v>
      </c>
      <c r="C79" s="1" t="s">
        <v>39</v>
      </c>
      <c r="D79" s="1" t="s">
        <v>96</v>
      </c>
      <c r="E79" s="3">
        <v>10</v>
      </c>
      <c r="F79" s="3">
        <f>SUM(E$5:$E79)</f>
        <v>705</v>
      </c>
      <c r="G79" s="3">
        <f>SUM(E$25:$E79)</f>
        <v>521</v>
      </c>
    </row>
    <row r="80" spans="1:7" ht="12.75">
      <c r="A80" s="3">
        <v>76</v>
      </c>
      <c r="B80" s="6">
        <f>DATE(93,9,19)</f>
        <v>34231</v>
      </c>
      <c r="C80" s="1" t="s">
        <v>17</v>
      </c>
      <c r="D80" s="1" t="s">
        <v>97</v>
      </c>
      <c r="E80" s="3">
        <v>10</v>
      </c>
      <c r="F80" s="3">
        <f>SUM(E$5:$E80)</f>
        <v>715</v>
      </c>
      <c r="G80" s="3">
        <f>SUM(E$25:$E80)</f>
        <v>531</v>
      </c>
    </row>
    <row r="81" spans="1:7" ht="12.75">
      <c r="A81" s="3">
        <v>77</v>
      </c>
      <c r="B81" s="6">
        <f>DATE(93,9,25)</f>
        <v>34237</v>
      </c>
      <c r="C81" s="1" t="s">
        <v>93</v>
      </c>
      <c r="D81" s="1" t="s">
        <v>24</v>
      </c>
      <c r="E81" s="3">
        <v>9</v>
      </c>
      <c r="F81" s="3">
        <f>SUM(E$5:$E81)</f>
        <v>724</v>
      </c>
      <c r="G81" s="3">
        <f>SUM(E$25:$E81)</f>
        <v>540</v>
      </c>
    </row>
    <row r="82" spans="1:7" ht="12.75">
      <c r="A82" s="3">
        <v>78</v>
      </c>
      <c r="B82" s="6">
        <f>DATE(93,10,3)</f>
        <v>34245</v>
      </c>
      <c r="C82" s="1" t="s">
        <v>17</v>
      </c>
      <c r="D82" s="1" t="s">
        <v>98</v>
      </c>
      <c r="E82" s="3">
        <v>10</v>
      </c>
      <c r="F82" s="3">
        <f>SUM(E$5:$E82)</f>
        <v>734</v>
      </c>
      <c r="G82" s="3">
        <f>SUM(E$25:$E82)</f>
        <v>550</v>
      </c>
    </row>
    <row r="83" spans="1:7" ht="12.75">
      <c r="A83" s="3">
        <v>79</v>
      </c>
      <c r="B83" s="6">
        <f>DATE(93,10,10)</f>
        <v>34252</v>
      </c>
      <c r="C83" s="1" t="s">
        <v>99</v>
      </c>
      <c r="D83" s="1" t="s">
        <v>100</v>
      </c>
      <c r="E83" s="3">
        <v>9</v>
      </c>
      <c r="F83" s="3">
        <f>SUM(E$5:$E83)</f>
        <v>743</v>
      </c>
      <c r="G83" s="3">
        <f>SUM(E$25:$E83)</f>
        <v>559</v>
      </c>
    </row>
    <row r="84" spans="1:7" ht="12.75">
      <c r="A84" s="3">
        <v>80</v>
      </c>
      <c r="B84" s="6">
        <f>DATE(93,10,28)</f>
        <v>34270</v>
      </c>
      <c r="C84" s="1" t="s">
        <v>15</v>
      </c>
      <c r="D84" s="1" t="s">
        <v>101</v>
      </c>
      <c r="E84" s="3">
        <v>6</v>
      </c>
      <c r="F84" s="3">
        <f>SUM(E$5:$E84)</f>
        <v>749</v>
      </c>
      <c r="G84" s="3">
        <f>SUM(E$25:$E84)</f>
        <v>565</v>
      </c>
    </row>
    <row r="85" spans="1:7" ht="12.75">
      <c r="A85" s="3">
        <v>81</v>
      </c>
      <c r="B85" s="6">
        <f>DATE(93,11,7)</f>
        <v>34280</v>
      </c>
      <c r="C85" s="1" t="s">
        <v>17</v>
      </c>
      <c r="D85" s="1" t="s">
        <v>102</v>
      </c>
      <c r="E85" s="3">
        <v>5</v>
      </c>
      <c r="F85" s="3">
        <f>SUM(E$5:$E85)</f>
        <v>754</v>
      </c>
      <c r="G85" s="3">
        <f>SUM(E$25:$E85)</f>
        <v>570</v>
      </c>
    </row>
    <row r="86" spans="1:7" ht="12.75">
      <c r="A86" s="3">
        <v>82</v>
      </c>
      <c r="B86" s="6">
        <f>DATE(93,11,13)</f>
        <v>34286</v>
      </c>
      <c r="C86" s="1" t="s">
        <v>93</v>
      </c>
      <c r="D86" s="1" t="s">
        <v>103</v>
      </c>
      <c r="E86" s="3">
        <v>7</v>
      </c>
      <c r="F86" s="3">
        <f>SUM(E$5:$E86)</f>
        <v>761</v>
      </c>
      <c r="G86" s="3">
        <f>SUM(E$25:$E86)</f>
        <v>577</v>
      </c>
    </row>
    <row r="87" spans="1:7" ht="12.75">
      <c r="A87" s="3">
        <v>83</v>
      </c>
      <c r="B87" s="6">
        <f>DATE(93,11,14)</f>
        <v>34287</v>
      </c>
      <c r="C87" s="1" t="s">
        <v>93</v>
      </c>
      <c r="D87" s="1" t="s">
        <v>104</v>
      </c>
      <c r="E87" s="3">
        <v>3</v>
      </c>
      <c r="F87" s="3">
        <f>SUM(E$5:$E87)</f>
        <v>764</v>
      </c>
      <c r="G87" s="3">
        <f>SUM(E$25:$E87)</f>
        <v>580</v>
      </c>
    </row>
    <row r="88" spans="1:7" ht="12.75">
      <c r="A88" s="3">
        <v>84</v>
      </c>
      <c r="B88" s="6">
        <f>DATE(93,11,21)</f>
        <v>34294</v>
      </c>
      <c r="C88" s="1" t="s">
        <v>17</v>
      </c>
      <c r="D88" s="1" t="s">
        <v>105</v>
      </c>
      <c r="E88" s="3">
        <v>5</v>
      </c>
      <c r="F88" s="3">
        <f>SUM(E$5:$E88)</f>
        <v>769</v>
      </c>
      <c r="G88" s="3">
        <f>SUM(E$25:$E88)</f>
        <v>585</v>
      </c>
    </row>
    <row r="89" spans="1:7" ht="12.75">
      <c r="A89" s="3">
        <v>85</v>
      </c>
      <c r="B89" s="6">
        <f>DATE(93,11,28)</f>
        <v>34301</v>
      </c>
      <c r="C89" s="1" t="s">
        <v>17</v>
      </c>
      <c r="D89" s="1" t="s">
        <v>106</v>
      </c>
      <c r="E89" s="3">
        <v>11</v>
      </c>
      <c r="F89" s="3">
        <f>SUM(E$5:$E89)</f>
        <v>780</v>
      </c>
      <c r="G89" s="3">
        <f>SUM(E$25:$E89)</f>
        <v>596</v>
      </c>
    </row>
    <row r="90" spans="1:7" ht="12.75">
      <c r="A90" s="3">
        <v>86</v>
      </c>
      <c r="B90" s="6">
        <f>DATE(93,12,12)</f>
        <v>34315</v>
      </c>
      <c r="C90" s="1" t="s">
        <v>17</v>
      </c>
      <c r="D90" s="1" t="s">
        <v>107</v>
      </c>
      <c r="E90" s="3">
        <v>8</v>
      </c>
      <c r="F90" s="3">
        <f>SUM(E$5:$E90)</f>
        <v>788</v>
      </c>
      <c r="G90" s="3">
        <f>SUM(E$25:$E90)</f>
        <v>604</v>
      </c>
    </row>
    <row r="91" spans="1:7" ht="12.75">
      <c r="A91" s="3">
        <v>87</v>
      </c>
      <c r="B91" s="6">
        <f>DATE(93,12,19)</f>
        <v>34322</v>
      </c>
      <c r="C91" s="1" t="s">
        <v>17</v>
      </c>
      <c r="D91" s="1" t="s">
        <v>108</v>
      </c>
      <c r="E91" s="3">
        <v>5</v>
      </c>
      <c r="F91" s="3">
        <f>SUM(E$5:$E91)</f>
        <v>793</v>
      </c>
      <c r="G91" s="3">
        <f>SUM(E$25:$E91)</f>
        <v>609</v>
      </c>
    </row>
    <row r="92" spans="1:7" ht="12.75">
      <c r="A92" s="3">
        <v>88</v>
      </c>
      <c r="B92" s="6">
        <f>DATE(93,12,26)</f>
        <v>34329</v>
      </c>
      <c r="C92" s="1" t="s">
        <v>17</v>
      </c>
      <c r="D92" s="1" t="s">
        <v>109</v>
      </c>
      <c r="E92" s="3">
        <v>8</v>
      </c>
      <c r="F92" s="3">
        <f>SUM(E$5:$E92)</f>
        <v>801</v>
      </c>
      <c r="G92" s="3">
        <f>SUM(E$25:$E92)</f>
        <v>617</v>
      </c>
    </row>
    <row r="93" spans="1:7" ht="12.75">
      <c r="A93" s="3">
        <v>89</v>
      </c>
      <c r="B93" s="6">
        <f>DATE(94,1,8)</f>
        <v>34342</v>
      </c>
      <c r="C93" s="1" t="s">
        <v>110</v>
      </c>
      <c r="D93" s="1" t="s">
        <v>111</v>
      </c>
      <c r="E93" s="3">
        <v>12</v>
      </c>
      <c r="F93" s="3">
        <f>SUM(E$5:$E93)</f>
        <v>813</v>
      </c>
      <c r="G93" s="3">
        <f>SUM($E$93)</f>
        <v>12</v>
      </c>
    </row>
    <row r="94" spans="1:7" ht="12.75">
      <c r="A94" s="3">
        <v>90</v>
      </c>
      <c r="B94" s="6">
        <f>DATE(94,1,16)</f>
        <v>34350</v>
      </c>
      <c r="C94" s="1" t="s">
        <v>17</v>
      </c>
      <c r="D94" s="1" t="s">
        <v>112</v>
      </c>
      <c r="E94" s="3">
        <v>5</v>
      </c>
      <c r="F94" s="3">
        <f>SUM(E$5:$E94)</f>
        <v>818</v>
      </c>
      <c r="G94" s="3">
        <f>SUM(E$93:$E94)</f>
        <v>17</v>
      </c>
    </row>
    <row r="95" spans="1:7" ht="12.75">
      <c r="A95" s="3">
        <v>91</v>
      </c>
      <c r="B95" s="6">
        <f>DATE(94,1,23)</f>
        <v>34357</v>
      </c>
      <c r="C95" s="1" t="s">
        <v>69</v>
      </c>
      <c r="D95" s="1" t="s">
        <v>113</v>
      </c>
      <c r="E95" s="3">
        <v>10</v>
      </c>
      <c r="F95" s="3">
        <f>SUM(E$5:$E95)</f>
        <v>828</v>
      </c>
      <c r="G95" s="3">
        <f>SUM(E$93:$E95)</f>
        <v>27</v>
      </c>
    </row>
    <row r="96" spans="1:7" ht="12.75">
      <c r="A96" s="3">
        <v>92</v>
      </c>
      <c r="B96" s="6">
        <f>DATE(94,1,29)</f>
        <v>34363</v>
      </c>
      <c r="C96" s="1" t="s">
        <v>39</v>
      </c>
      <c r="D96" s="1" t="s">
        <v>114</v>
      </c>
      <c r="E96" s="3">
        <v>10</v>
      </c>
      <c r="F96" s="3">
        <f>SUM(E$5:$E96)</f>
        <v>838</v>
      </c>
      <c r="G96" s="3">
        <f>SUM(E$93:$E96)</f>
        <v>37</v>
      </c>
    </row>
    <row r="97" spans="1:7" ht="12.75">
      <c r="A97" s="3">
        <v>93</v>
      </c>
      <c r="B97" s="6">
        <f>DATE(94,2,6)</f>
        <v>34371</v>
      </c>
      <c r="C97" s="1" t="s">
        <v>17</v>
      </c>
      <c r="D97" s="1" t="s">
        <v>115</v>
      </c>
      <c r="E97" s="3">
        <v>10</v>
      </c>
      <c r="F97" s="3">
        <f>SUM(E$5:$E97)</f>
        <v>848</v>
      </c>
      <c r="G97" s="3">
        <f>SUM(E$93:$E97)</f>
        <v>47</v>
      </c>
    </row>
    <row r="98" spans="1:7" ht="12.75">
      <c r="A98" s="3">
        <v>94</v>
      </c>
      <c r="B98" s="6">
        <f>DATE(94,2,12)</f>
        <v>34377</v>
      </c>
      <c r="C98" s="1" t="s">
        <v>116</v>
      </c>
      <c r="D98" s="1" t="s">
        <v>117</v>
      </c>
      <c r="E98" s="3">
        <v>5</v>
      </c>
      <c r="F98" s="3">
        <f>SUM(E$5:$E98)</f>
        <v>853</v>
      </c>
      <c r="G98" s="3">
        <f>SUM(E$93:$E98)</f>
        <v>52</v>
      </c>
    </row>
    <row r="99" spans="1:7" ht="12.75">
      <c r="A99" s="3">
        <v>95</v>
      </c>
      <c r="B99" s="6">
        <f>DATE(94,2,13)</f>
        <v>34378</v>
      </c>
      <c r="C99" s="1" t="s">
        <v>118</v>
      </c>
      <c r="D99" s="1" t="s">
        <v>119</v>
      </c>
      <c r="E99" s="3">
        <v>7</v>
      </c>
      <c r="F99" s="3">
        <f>SUM(E$5:$E99)</f>
        <v>860</v>
      </c>
      <c r="G99" s="3">
        <f>SUM(E$93:$E99)</f>
        <v>59</v>
      </c>
    </row>
    <row r="100" spans="1:7" ht="12.75">
      <c r="A100" s="3">
        <v>96</v>
      </c>
      <c r="B100" s="6">
        <f>DATE(94,2,19)</f>
        <v>34384</v>
      </c>
      <c r="C100" s="1" t="s">
        <v>39</v>
      </c>
      <c r="D100" s="1" t="s">
        <v>120</v>
      </c>
      <c r="E100" s="3">
        <v>11</v>
      </c>
      <c r="F100" s="3">
        <f>SUM(E$5:$E100)</f>
        <v>871</v>
      </c>
      <c r="G100" s="3">
        <f>SUM(E$93:$E100)</f>
        <v>70</v>
      </c>
    </row>
    <row r="101" spans="1:7" ht="12.75">
      <c r="A101" s="3">
        <v>97</v>
      </c>
      <c r="B101" s="6">
        <f>DATE(94,2,20)</f>
        <v>34385</v>
      </c>
      <c r="C101" s="1" t="s">
        <v>17</v>
      </c>
      <c r="D101" s="1" t="s">
        <v>121</v>
      </c>
      <c r="E101" s="3">
        <v>11</v>
      </c>
      <c r="F101" s="3">
        <f>SUM(E$5:$E101)</f>
        <v>882</v>
      </c>
      <c r="G101" s="3">
        <f>SUM(E$93:$E101)</f>
        <v>81</v>
      </c>
    </row>
    <row r="102" spans="1:7" ht="12.75">
      <c r="A102" s="3">
        <v>98</v>
      </c>
      <c r="B102" s="6">
        <f>DATE(94,2,28)</f>
        <v>34393</v>
      </c>
      <c r="C102" s="1" t="s">
        <v>17</v>
      </c>
      <c r="D102" s="1" t="s">
        <v>122</v>
      </c>
      <c r="E102" s="3">
        <v>9</v>
      </c>
      <c r="F102" s="3">
        <f>SUM(E$5:$E102)</f>
        <v>891</v>
      </c>
      <c r="G102" s="3">
        <f>SUM(E$93:$E102)</f>
        <v>90</v>
      </c>
    </row>
    <row r="103" spans="1:7" ht="12.75">
      <c r="A103" s="3">
        <v>99</v>
      </c>
      <c r="B103" s="6">
        <f>DATE(94,3,5)</f>
        <v>34398</v>
      </c>
      <c r="C103" s="1" t="s">
        <v>93</v>
      </c>
      <c r="D103" s="1" t="s">
        <v>123</v>
      </c>
      <c r="E103" s="3">
        <v>12</v>
      </c>
      <c r="F103" s="3">
        <f>SUM(E$5:$E103)</f>
        <v>903</v>
      </c>
      <c r="G103" s="3">
        <f>SUM(E$93:$E103)</f>
        <v>102</v>
      </c>
    </row>
    <row r="104" spans="1:7" ht="12.75">
      <c r="A104" s="3">
        <v>100</v>
      </c>
      <c r="B104" s="6">
        <f>DATE(94,3,12)</f>
        <v>34405</v>
      </c>
      <c r="C104" s="1" t="s">
        <v>124</v>
      </c>
      <c r="D104" s="1" t="s">
        <v>125</v>
      </c>
      <c r="E104" s="3">
        <v>6</v>
      </c>
      <c r="F104" s="3">
        <f>SUM(E$5:$E104)</f>
        <v>909</v>
      </c>
      <c r="G104" s="3">
        <f>SUM(E$93:$E104)</f>
        <v>108</v>
      </c>
    </row>
    <row r="105" spans="1:7" ht="12.75">
      <c r="A105" s="3">
        <v>101</v>
      </c>
      <c r="B105" s="6">
        <f>DATE(94,3,13)</f>
        <v>34406</v>
      </c>
      <c r="C105" s="1" t="s">
        <v>124</v>
      </c>
      <c r="D105" s="1" t="s">
        <v>126</v>
      </c>
      <c r="E105" s="3">
        <v>8</v>
      </c>
      <c r="F105" s="3">
        <f>SUM(E$5:$E105)</f>
        <v>917</v>
      </c>
      <c r="G105" s="3">
        <f>SUM(E$93:$E105)</f>
        <v>116</v>
      </c>
    </row>
    <row r="106" spans="1:7" ht="12.75">
      <c r="A106" s="3">
        <v>102</v>
      </c>
      <c r="B106" s="6">
        <f>DATE(94,3,20)</f>
        <v>34413</v>
      </c>
      <c r="C106" s="1" t="s">
        <v>17</v>
      </c>
      <c r="D106" s="1" t="s">
        <v>41</v>
      </c>
      <c r="E106" s="3">
        <v>10</v>
      </c>
      <c r="F106" s="3">
        <f>SUM(E$5:$E106)</f>
        <v>927</v>
      </c>
      <c r="G106" s="3">
        <f>SUM(E$93:$E106)</f>
        <v>126</v>
      </c>
    </row>
    <row r="107" spans="1:7" ht="12.75">
      <c r="A107" s="3">
        <v>103</v>
      </c>
      <c r="B107" s="6">
        <f>DATE(94,3,27)</f>
        <v>34420</v>
      </c>
      <c r="C107" s="1" t="s">
        <v>17</v>
      </c>
      <c r="D107" s="1" t="s">
        <v>127</v>
      </c>
      <c r="E107" s="3">
        <v>5</v>
      </c>
      <c r="F107" s="3">
        <f>SUM(E$5:$E107)</f>
        <v>932</v>
      </c>
      <c r="G107" s="3">
        <f>SUM(E$93:$E107)</f>
        <v>131</v>
      </c>
    </row>
    <row r="108" spans="1:7" ht="12.75">
      <c r="A108" s="3">
        <v>104</v>
      </c>
      <c r="B108" s="6">
        <f>DATE(94,4,1)</f>
        <v>34425</v>
      </c>
      <c r="C108" s="1" t="s">
        <v>39</v>
      </c>
      <c r="D108" s="1" t="s">
        <v>128</v>
      </c>
      <c r="E108" s="3">
        <v>20</v>
      </c>
      <c r="F108" s="3">
        <f>SUM(E$5:$E108)</f>
        <v>952</v>
      </c>
      <c r="G108" s="3">
        <f>SUM(E$93:$E108)</f>
        <v>151</v>
      </c>
    </row>
    <row r="109" spans="1:7" ht="12.75">
      <c r="A109" s="3">
        <v>105</v>
      </c>
      <c r="B109" s="6">
        <f>DATE(94,4,3)</f>
        <v>34427</v>
      </c>
      <c r="C109" s="1" t="s">
        <v>17</v>
      </c>
      <c r="D109" s="1" t="s">
        <v>129</v>
      </c>
      <c r="E109" s="3">
        <v>12</v>
      </c>
      <c r="F109" s="3">
        <f>SUM(E$5:$E109)</f>
        <v>964</v>
      </c>
      <c r="G109" s="3">
        <f>SUM(E$93:$E109)</f>
        <v>163</v>
      </c>
    </row>
    <row r="110" spans="1:7" ht="12.75">
      <c r="A110" s="3">
        <v>106</v>
      </c>
      <c r="B110" s="6">
        <f>DATE(94,4,4)</f>
        <v>34428</v>
      </c>
      <c r="C110" s="1" t="s">
        <v>55</v>
      </c>
      <c r="D110" s="1" t="s">
        <v>130</v>
      </c>
      <c r="E110" s="3">
        <v>10</v>
      </c>
      <c r="F110" s="3">
        <f>SUM(E$5:$E110)</f>
        <v>974</v>
      </c>
      <c r="G110" s="3">
        <f>SUM(E$93:$E110)</f>
        <v>173</v>
      </c>
    </row>
    <row r="111" spans="1:7" ht="12.75">
      <c r="A111" s="3">
        <v>107</v>
      </c>
      <c r="B111" s="6">
        <f>DATE(94,4,9)</f>
        <v>34433</v>
      </c>
      <c r="C111" s="1" t="s">
        <v>39</v>
      </c>
      <c r="D111" s="1" t="s">
        <v>131</v>
      </c>
      <c r="E111" s="3">
        <v>9</v>
      </c>
      <c r="F111" s="3">
        <f>SUM(E$5:$E111)</f>
        <v>983</v>
      </c>
      <c r="G111" s="3">
        <f>SUM(E$93:$E111)</f>
        <v>182</v>
      </c>
    </row>
    <row r="112" spans="1:7" ht="12.75">
      <c r="A112" s="3">
        <v>108</v>
      </c>
      <c r="B112" s="6">
        <f>DATE(94,4,10)</f>
        <v>34434</v>
      </c>
      <c r="C112" s="1" t="s">
        <v>132</v>
      </c>
      <c r="D112" s="1" t="s">
        <v>133</v>
      </c>
      <c r="E112" s="3">
        <v>5</v>
      </c>
      <c r="F112" s="3">
        <f>SUM(E$5:$E112)</f>
        <v>988</v>
      </c>
      <c r="G112" s="3">
        <f>SUM(E$93:$E112)</f>
        <v>187</v>
      </c>
    </row>
    <row r="113" spans="1:7" ht="12.75">
      <c r="A113" s="3">
        <v>109</v>
      </c>
      <c r="B113" s="6">
        <f>DATE(94,4,17)</f>
        <v>34441</v>
      </c>
      <c r="C113" s="1" t="s">
        <v>17</v>
      </c>
      <c r="D113" s="1" t="s">
        <v>134</v>
      </c>
      <c r="E113" s="3">
        <v>13</v>
      </c>
      <c r="F113" s="3">
        <f>SUM(E$5:$E113)</f>
        <v>1001</v>
      </c>
      <c r="G113" s="3">
        <f>SUM(E$93:$E113)</f>
        <v>200</v>
      </c>
    </row>
    <row r="114" spans="1:7" ht="12.75">
      <c r="A114" s="3">
        <v>110</v>
      </c>
      <c r="B114" s="6">
        <f>DATE(94,4,24)</f>
        <v>34448</v>
      </c>
      <c r="C114" s="1" t="s">
        <v>135</v>
      </c>
      <c r="D114" s="1" t="s">
        <v>43</v>
      </c>
      <c r="E114" s="3">
        <v>16</v>
      </c>
      <c r="F114" s="3">
        <f>SUM(E$5:$E114)</f>
        <v>1017</v>
      </c>
      <c r="G114" s="3">
        <f>SUM(E$93:$E114)</f>
        <v>216</v>
      </c>
    </row>
    <row r="115" spans="1:7" ht="12.75">
      <c r="A115" s="3">
        <v>111</v>
      </c>
      <c r="B115" s="6">
        <f>DATE(94,5,1)</f>
        <v>34455</v>
      </c>
      <c r="C115" s="1" t="s">
        <v>17</v>
      </c>
      <c r="D115" s="1" t="s">
        <v>136</v>
      </c>
      <c r="E115" s="3">
        <v>10</v>
      </c>
      <c r="F115" s="3">
        <f>SUM(E$5:$E115)</f>
        <v>1027</v>
      </c>
      <c r="G115" s="3">
        <f>SUM(E$93:$E115)</f>
        <v>226</v>
      </c>
    </row>
    <row r="116" spans="1:7" ht="12.75">
      <c r="A116" s="3">
        <v>112</v>
      </c>
      <c r="B116" s="6">
        <f>DATE(94,5,8)</f>
        <v>34462</v>
      </c>
      <c r="C116" s="1" t="s">
        <v>135</v>
      </c>
      <c r="D116" s="1" t="s">
        <v>137</v>
      </c>
      <c r="E116" s="3">
        <v>10</v>
      </c>
      <c r="F116" s="3">
        <f>SUM(E$5:$E116)</f>
        <v>1037</v>
      </c>
      <c r="G116" s="3">
        <f>SUM(E$93:$E116)</f>
        <v>236</v>
      </c>
    </row>
    <row r="117" spans="1:7" ht="12.75">
      <c r="A117" s="3">
        <v>113</v>
      </c>
      <c r="B117" s="6">
        <f>DATE(94,5,21)</f>
        <v>34475</v>
      </c>
      <c r="C117" s="1" t="s">
        <v>99</v>
      </c>
      <c r="D117" s="1" t="s">
        <v>117</v>
      </c>
      <c r="E117" s="3">
        <v>5</v>
      </c>
      <c r="F117" s="3">
        <f>SUM(E$5:$E117)</f>
        <v>1042</v>
      </c>
      <c r="G117" s="3">
        <f>SUM(E$93:$E117)</f>
        <v>241</v>
      </c>
    </row>
    <row r="118" spans="1:7" ht="12.75">
      <c r="A118" s="3">
        <v>114</v>
      </c>
      <c r="B118" s="6">
        <f>DATE(94,5,28)</f>
        <v>34482</v>
      </c>
      <c r="C118" s="1" t="s">
        <v>15</v>
      </c>
      <c r="D118" s="1" t="s">
        <v>138</v>
      </c>
      <c r="E118" s="3">
        <v>9</v>
      </c>
      <c r="F118" s="3">
        <f>SUM(E$5:$E118)</f>
        <v>1051</v>
      </c>
      <c r="G118" s="3">
        <f>SUM(E$93:$E118)</f>
        <v>250</v>
      </c>
    </row>
    <row r="119" spans="1:7" ht="12.75">
      <c r="A119" s="3">
        <v>115</v>
      </c>
      <c r="B119" s="6">
        <f>DATE(94,5,29)</f>
        <v>34483</v>
      </c>
      <c r="C119" s="1" t="s">
        <v>139</v>
      </c>
      <c r="D119" s="1" t="s">
        <v>140</v>
      </c>
      <c r="E119" s="3">
        <v>5</v>
      </c>
      <c r="F119" s="3">
        <f>SUM(E$5:$E119)</f>
        <v>1056</v>
      </c>
      <c r="G119" s="3">
        <f>SUM(E$93:$E119)</f>
        <v>255</v>
      </c>
    </row>
    <row r="120" spans="1:7" ht="12.75">
      <c r="A120" s="3">
        <v>116</v>
      </c>
      <c r="B120" s="6">
        <f>DATE(94,5,31)</f>
        <v>34485</v>
      </c>
      <c r="C120" s="1" t="s">
        <v>141</v>
      </c>
      <c r="D120" s="1" t="s">
        <v>142</v>
      </c>
      <c r="E120" s="3">
        <v>24</v>
      </c>
      <c r="F120" s="3">
        <f>SUM(E$5:$E120)</f>
        <v>1080</v>
      </c>
      <c r="G120" s="3">
        <f>SUM(E$93:$E120)</f>
        <v>279</v>
      </c>
    </row>
    <row r="121" spans="1:7" ht="12.75">
      <c r="A121" s="3">
        <v>117</v>
      </c>
      <c r="B121" s="6">
        <f>DATE(94,6,5)</f>
        <v>34490</v>
      </c>
      <c r="C121" s="1" t="s">
        <v>17</v>
      </c>
      <c r="D121" s="1" t="s">
        <v>130</v>
      </c>
      <c r="E121" s="3">
        <v>5</v>
      </c>
      <c r="F121" s="3">
        <f>SUM(E$5:$E121)</f>
        <v>1085</v>
      </c>
      <c r="G121" s="3">
        <f>SUM(E$93:$E121)</f>
        <v>284</v>
      </c>
    </row>
    <row r="122" spans="1:7" ht="12.75">
      <c r="A122" s="3">
        <v>118</v>
      </c>
      <c r="B122" s="6">
        <f>DATE(94,6,12)</f>
        <v>34497</v>
      </c>
      <c r="C122" s="1" t="s">
        <v>17</v>
      </c>
      <c r="D122" s="1" t="s">
        <v>143</v>
      </c>
      <c r="E122" s="3">
        <v>14</v>
      </c>
      <c r="F122" s="3">
        <f>SUM(E$5:$E122)</f>
        <v>1099</v>
      </c>
      <c r="G122" s="3">
        <f>SUM(E$93:$E122)</f>
        <v>298</v>
      </c>
    </row>
    <row r="123" spans="1:7" ht="12.75">
      <c r="A123" s="3">
        <v>119</v>
      </c>
      <c r="B123" s="6">
        <f>DATE(94,6,19)</f>
        <v>34504</v>
      </c>
      <c r="C123" s="1" t="s">
        <v>144</v>
      </c>
      <c r="D123" s="1" t="s">
        <v>145</v>
      </c>
      <c r="E123" s="3">
        <v>11</v>
      </c>
      <c r="F123" s="3">
        <f>SUM(E$5:$E123)</f>
        <v>1110</v>
      </c>
      <c r="G123" s="3">
        <f>SUM(E$93:$E123)</f>
        <v>309</v>
      </c>
    </row>
    <row r="124" spans="1:7" ht="12.75">
      <c r="A124" s="3">
        <v>120</v>
      </c>
      <c r="B124" s="6">
        <f>DATE(94,6,26)</f>
        <v>34511</v>
      </c>
      <c r="C124" s="1" t="s">
        <v>55</v>
      </c>
      <c r="D124" s="1" t="s">
        <v>64</v>
      </c>
      <c r="E124" s="3">
        <v>9</v>
      </c>
      <c r="F124" s="3">
        <f>SUM(E$5:$E124)</f>
        <v>1119</v>
      </c>
      <c r="G124" s="3">
        <f>SUM(E$93:$E124)</f>
        <v>318</v>
      </c>
    </row>
    <row r="125" spans="1:7" ht="12.75">
      <c r="A125" s="3">
        <v>121</v>
      </c>
      <c r="B125" s="6">
        <f>DATE(94,7,2)</f>
        <v>34517</v>
      </c>
      <c r="C125" s="1" t="s">
        <v>141</v>
      </c>
      <c r="D125" s="1" t="s">
        <v>146</v>
      </c>
      <c r="E125" s="3">
        <v>32</v>
      </c>
      <c r="F125" s="3">
        <f>SUM(E$5:$E125)</f>
        <v>1151</v>
      </c>
      <c r="G125" s="3">
        <f>SUM(E$93:$E125)</f>
        <v>350</v>
      </c>
    </row>
    <row r="126" spans="1:7" ht="12.75">
      <c r="A126" s="3">
        <v>122</v>
      </c>
      <c r="B126" s="6">
        <f>DATE(94,7,10)</f>
        <v>34525</v>
      </c>
      <c r="C126" s="1" t="s">
        <v>17</v>
      </c>
      <c r="D126" s="1" t="s">
        <v>147</v>
      </c>
      <c r="E126" s="3">
        <v>9</v>
      </c>
      <c r="F126" s="3">
        <f>SUM(E$5:$E126)</f>
        <v>1160</v>
      </c>
      <c r="G126" s="3">
        <f>SUM(E$93:$E126)</f>
        <v>359</v>
      </c>
    </row>
    <row r="127" spans="1:7" ht="12.75">
      <c r="A127" s="3">
        <v>123</v>
      </c>
      <c r="B127" s="6">
        <f>DATE(94,7,30)</f>
        <v>34545</v>
      </c>
      <c r="C127" s="1" t="s">
        <v>39</v>
      </c>
      <c r="D127" s="1" t="s">
        <v>148</v>
      </c>
      <c r="E127" s="3">
        <v>9</v>
      </c>
      <c r="F127" s="3">
        <f>SUM(E$5:$E127)</f>
        <v>1169</v>
      </c>
      <c r="G127" s="3">
        <f>SUM(E$93:$E127)</f>
        <v>368</v>
      </c>
    </row>
    <row r="128" spans="1:7" ht="12.75">
      <c r="A128" s="3">
        <v>124</v>
      </c>
      <c r="B128" s="6">
        <f>DATE(94,7,31)</f>
        <v>34546</v>
      </c>
      <c r="C128" s="1" t="s">
        <v>74</v>
      </c>
      <c r="D128" s="1" t="s">
        <v>149</v>
      </c>
      <c r="E128" s="3">
        <v>8</v>
      </c>
      <c r="F128" s="3">
        <f>SUM(E$5:$E128)</f>
        <v>1177</v>
      </c>
      <c r="G128" s="3">
        <f>SUM(E$93:$E128)</f>
        <v>376</v>
      </c>
    </row>
    <row r="129" spans="1:7" ht="12.75">
      <c r="A129" s="3">
        <v>125</v>
      </c>
      <c r="B129" s="6">
        <f>DATE(94,8,1)</f>
        <v>34547</v>
      </c>
      <c r="C129" s="1" t="s">
        <v>74</v>
      </c>
      <c r="D129" s="1" t="s">
        <v>150</v>
      </c>
      <c r="E129" s="3">
        <v>14</v>
      </c>
      <c r="F129" s="3">
        <f>SUM(E$5:$E129)</f>
        <v>1191</v>
      </c>
      <c r="G129" s="3">
        <f>SUM(E$93:$E129)</f>
        <v>390</v>
      </c>
    </row>
    <row r="130" spans="1:7" ht="12.75">
      <c r="A130" s="3">
        <v>126</v>
      </c>
      <c r="B130" s="6">
        <f>DATE(94,8,2)</f>
        <v>34548</v>
      </c>
      <c r="C130" s="1" t="s">
        <v>39</v>
      </c>
      <c r="D130" s="1" t="s">
        <v>151</v>
      </c>
      <c r="E130" s="3">
        <v>11</v>
      </c>
      <c r="F130" s="3">
        <f>SUM(E$5:$E130)</f>
        <v>1202</v>
      </c>
      <c r="G130" s="3">
        <f>SUM(E$93:$E130)</f>
        <v>401</v>
      </c>
    </row>
    <row r="131" spans="1:7" ht="12.75">
      <c r="A131" s="3">
        <v>127</v>
      </c>
      <c r="B131" s="6">
        <f>DATE(94,8,3)</f>
        <v>34549</v>
      </c>
      <c r="C131" s="1" t="s">
        <v>74</v>
      </c>
      <c r="D131" s="1" t="s">
        <v>152</v>
      </c>
      <c r="E131" s="3">
        <v>11</v>
      </c>
      <c r="F131" s="3">
        <f>SUM(E$5:$E131)</f>
        <v>1213</v>
      </c>
      <c r="G131" s="3">
        <f>SUM(E$93:$E131)</f>
        <v>412</v>
      </c>
    </row>
    <row r="132" spans="1:7" ht="12.75">
      <c r="A132" s="3">
        <v>128</v>
      </c>
      <c r="B132" s="6">
        <f>DATE(94,8,4)</f>
        <v>34550</v>
      </c>
      <c r="C132" s="1" t="s">
        <v>74</v>
      </c>
      <c r="D132" s="1" t="s">
        <v>153</v>
      </c>
      <c r="E132" s="3">
        <v>11</v>
      </c>
      <c r="F132" s="3">
        <f>SUM(E$5:$E132)</f>
        <v>1224</v>
      </c>
      <c r="G132" s="3">
        <f>SUM(E$93:$E132)</f>
        <v>423</v>
      </c>
    </row>
    <row r="133" spans="1:7" ht="12.75">
      <c r="A133" s="3">
        <v>129</v>
      </c>
      <c r="B133" s="6">
        <f>DATE(94,8,5)</f>
        <v>34551</v>
      </c>
      <c r="C133" s="1" t="s">
        <v>74</v>
      </c>
      <c r="D133" s="1" t="s">
        <v>154</v>
      </c>
      <c r="E133" s="3">
        <v>12</v>
      </c>
      <c r="F133" s="3">
        <f>SUM(E$5:$E133)</f>
        <v>1236</v>
      </c>
      <c r="G133" s="3">
        <f>SUM(E$93:$E133)</f>
        <v>435</v>
      </c>
    </row>
    <row r="134" spans="1:7" ht="12.75">
      <c r="A134" s="3">
        <v>130</v>
      </c>
      <c r="B134" s="6">
        <f>DATE(94,8,7)</f>
        <v>34553</v>
      </c>
      <c r="C134" s="1" t="s">
        <v>55</v>
      </c>
      <c r="D134" s="1" t="s">
        <v>155</v>
      </c>
      <c r="E134" s="3">
        <v>8</v>
      </c>
      <c r="F134" s="3">
        <f>SUM(E$5:$E134)</f>
        <v>1244</v>
      </c>
      <c r="G134" s="3">
        <f>SUM(E$93:$E134)</f>
        <v>443</v>
      </c>
    </row>
    <row r="135" spans="1:7" ht="12.75">
      <c r="A135" s="3">
        <v>131</v>
      </c>
      <c r="B135" s="6">
        <f>DATE(94,8,9)</f>
        <v>34555</v>
      </c>
      <c r="C135" s="1" t="s">
        <v>144</v>
      </c>
      <c r="D135" s="1" t="s">
        <v>156</v>
      </c>
      <c r="E135" s="3">
        <v>5</v>
      </c>
      <c r="F135" s="3">
        <f>SUM(E$5:$E135)</f>
        <v>1249</v>
      </c>
      <c r="G135" s="3">
        <f>SUM(E$93:$E135)</f>
        <v>448</v>
      </c>
    </row>
    <row r="136" spans="1:7" ht="12.75">
      <c r="A136" s="3">
        <v>132</v>
      </c>
      <c r="B136" s="6">
        <f>DATE(94,8,10)</f>
        <v>34556</v>
      </c>
      <c r="C136" s="1" t="s">
        <v>15</v>
      </c>
      <c r="D136" s="1" t="s">
        <v>157</v>
      </c>
      <c r="E136" s="3">
        <v>15</v>
      </c>
      <c r="F136" s="3">
        <f>SUM(E$5:$E136)</f>
        <v>1264</v>
      </c>
      <c r="G136" s="3">
        <f>SUM(E$93:$E136)</f>
        <v>463</v>
      </c>
    </row>
    <row r="137" spans="1:7" ht="12.75">
      <c r="A137" s="3">
        <v>133</v>
      </c>
      <c r="B137" s="6">
        <f>DATE(94,8,21)</f>
        <v>34567</v>
      </c>
      <c r="C137" s="1" t="s">
        <v>144</v>
      </c>
      <c r="D137" s="1" t="s">
        <v>158</v>
      </c>
      <c r="E137" s="3">
        <v>7</v>
      </c>
      <c r="F137" s="3">
        <f>SUM(E$5:$E137)</f>
        <v>1271</v>
      </c>
      <c r="G137" s="3">
        <f>SUM(E$93:$E137)</f>
        <v>470</v>
      </c>
    </row>
    <row r="138" spans="1:7" ht="12.75">
      <c r="A138" s="3">
        <v>134</v>
      </c>
      <c r="B138" s="6">
        <f>DATE(94,8,29)</f>
        <v>34575</v>
      </c>
      <c r="C138" s="1" t="s">
        <v>55</v>
      </c>
      <c r="D138" s="1" t="s">
        <v>97</v>
      </c>
      <c r="E138" s="3">
        <v>8</v>
      </c>
      <c r="F138" s="3">
        <f>SUM(E$5:$E138)</f>
        <v>1279</v>
      </c>
      <c r="G138" s="3">
        <f>SUM(E$93:$E138)</f>
        <v>478</v>
      </c>
    </row>
    <row r="139" spans="1:7" ht="12.75">
      <c r="A139" s="3">
        <v>135</v>
      </c>
      <c r="B139" s="6">
        <f>DATE(94,8,30)</f>
        <v>34576</v>
      </c>
      <c r="C139" s="1" t="s">
        <v>144</v>
      </c>
      <c r="D139" s="1" t="s">
        <v>159</v>
      </c>
      <c r="E139" s="3">
        <v>4</v>
      </c>
      <c r="F139" s="3">
        <f>SUM(E$5:$E139)</f>
        <v>1283</v>
      </c>
      <c r="G139" s="3">
        <f>SUM(E$93:$E139)</f>
        <v>482</v>
      </c>
    </row>
    <row r="140" spans="1:7" ht="12.75">
      <c r="A140" s="3">
        <v>136</v>
      </c>
      <c r="B140" s="6">
        <f>DATE(94,9,4)</f>
        <v>34581</v>
      </c>
      <c r="C140" s="1" t="s">
        <v>17</v>
      </c>
      <c r="D140" s="1" t="s">
        <v>160</v>
      </c>
      <c r="E140" s="3">
        <v>15</v>
      </c>
      <c r="F140" s="3">
        <f>SUM(E$5:$E140)</f>
        <v>1298</v>
      </c>
      <c r="G140" s="3">
        <f>SUM(E$93:$E140)</f>
        <v>497</v>
      </c>
    </row>
    <row r="141" spans="1:7" ht="12.75">
      <c r="A141" s="3">
        <v>137</v>
      </c>
      <c r="B141" s="6">
        <f>DATE(94,9,24)</f>
        <v>34601</v>
      </c>
      <c r="C141" s="1" t="s">
        <v>141</v>
      </c>
      <c r="D141" s="1" t="s">
        <v>161</v>
      </c>
      <c r="E141" s="3">
        <v>10</v>
      </c>
      <c r="F141" s="3">
        <f>SUM(E$5:$E141)</f>
        <v>1308</v>
      </c>
      <c r="G141" s="3">
        <f>SUM(E$93:$E141)</f>
        <v>507</v>
      </c>
    </row>
    <row r="142" spans="1:7" ht="12.75">
      <c r="A142" s="3">
        <v>138</v>
      </c>
      <c r="B142" s="6">
        <f>DATE(94,10,9)</f>
        <v>34616</v>
      </c>
      <c r="C142" s="1" t="s">
        <v>144</v>
      </c>
      <c r="D142" s="1" t="s">
        <v>162</v>
      </c>
      <c r="E142" s="3">
        <v>13</v>
      </c>
      <c r="F142" s="3">
        <f>SUM(E$5:$E142)</f>
        <v>1321</v>
      </c>
      <c r="G142" s="3">
        <f>SUM(E$93:$E142)</f>
        <v>520</v>
      </c>
    </row>
    <row r="143" spans="1:7" ht="12.75">
      <c r="A143" s="3">
        <v>139</v>
      </c>
      <c r="B143" s="6">
        <f>DATE(94,10,18)</f>
        <v>34625</v>
      </c>
      <c r="C143" s="1" t="s">
        <v>39</v>
      </c>
      <c r="D143" s="1" t="s">
        <v>163</v>
      </c>
      <c r="E143" s="3">
        <v>10</v>
      </c>
      <c r="F143" s="3">
        <f>SUM(E$5:$E143)</f>
        <v>1331</v>
      </c>
      <c r="G143" s="3">
        <f>SUM(E$93:$E143)</f>
        <v>530</v>
      </c>
    </row>
    <row r="144" spans="1:7" ht="12.75">
      <c r="A144" s="3">
        <v>140</v>
      </c>
      <c r="B144" s="6">
        <f>DATE(94,10,23)</f>
        <v>34630</v>
      </c>
      <c r="C144" s="1" t="s">
        <v>17</v>
      </c>
      <c r="D144" s="1" t="s">
        <v>164</v>
      </c>
      <c r="E144" s="3">
        <v>5</v>
      </c>
      <c r="F144" s="3">
        <f>SUM(E$5:$E144)</f>
        <v>1336</v>
      </c>
      <c r="G144" s="3">
        <f>SUM(E$93:$E144)</f>
        <v>535</v>
      </c>
    </row>
    <row r="145" spans="1:7" ht="12.75">
      <c r="A145" s="3">
        <v>141</v>
      </c>
      <c r="B145" s="6">
        <f>DATE(94,10,28)</f>
        <v>34635</v>
      </c>
      <c r="C145" s="1" t="s">
        <v>17</v>
      </c>
      <c r="D145" s="1" t="s">
        <v>165</v>
      </c>
      <c r="E145" s="3">
        <v>8</v>
      </c>
      <c r="F145" s="3">
        <f>SUM(E$5:$E145)</f>
        <v>1344</v>
      </c>
      <c r="G145" s="3">
        <f>SUM(E$93:$E145)</f>
        <v>543</v>
      </c>
    </row>
    <row r="146" spans="1:7" ht="12.75">
      <c r="A146" s="3">
        <v>142</v>
      </c>
      <c r="B146" s="6">
        <f>DATE(94,10,29)</f>
        <v>34636</v>
      </c>
      <c r="C146" s="1" t="s">
        <v>17</v>
      </c>
      <c r="D146" s="1" t="s">
        <v>166</v>
      </c>
      <c r="E146" s="3">
        <v>13</v>
      </c>
      <c r="F146" s="3">
        <f>SUM(E$5:$E146)</f>
        <v>1357</v>
      </c>
      <c r="G146" s="3">
        <f>SUM(E$93:$E146)</f>
        <v>556</v>
      </c>
    </row>
    <row r="147" spans="1:7" ht="12.75">
      <c r="A147" s="3">
        <v>143</v>
      </c>
      <c r="B147" s="6">
        <f>DATE(94,10,30)</f>
        <v>34637</v>
      </c>
      <c r="C147" s="1" t="s">
        <v>17</v>
      </c>
      <c r="D147" s="1" t="s">
        <v>167</v>
      </c>
      <c r="E147" s="3">
        <v>8</v>
      </c>
      <c r="F147" s="3">
        <f>SUM(E$5:$E147)</f>
        <v>1365</v>
      </c>
      <c r="G147" s="3">
        <f>SUM(E$93:$E147)</f>
        <v>564</v>
      </c>
    </row>
    <row r="148" spans="1:7" ht="12.75">
      <c r="A148" s="3">
        <v>144</v>
      </c>
      <c r="B148" s="6">
        <f>DATE(94,11,6)</f>
        <v>34644</v>
      </c>
      <c r="C148" s="1" t="s">
        <v>132</v>
      </c>
      <c r="D148" s="1" t="s">
        <v>168</v>
      </c>
      <c r="E148" s="3">
        <v>10</v>
      </c>
      <c r="F148" s="3">
        <f>SUM(E$5:$E148)</f>
        <v>1375</v>
      </c>
      <c r="G148" s="3">
        <f>SUM(E$93:$E148)</f>
        <v>574</v>
      </c>
    </row>
    <row r="149" spans="1:7" ht="12.75">
      <c r="A149" s="3">
        <v>145</v>
      </c>
      <c r="B149" s="6">
        <f>DATE(94,11,13)</f>
        <v>34651</v>
      </c>
      <c r="C149" s="1" t="s">
        <v>17</v>
      </c>
      <c r="D149" s="1" t="s">
        <v>169</v>
      </c>
      <c r="E149" s="3">
        <v>12</v>
      </c>
      <c r="F149" s="3">
        <f>SUM(E$5:$E149)</f>
        <v>1387</v>
      </c>
      <c r="G149" s="3">
        <f>SUM(E$93:$E149)</f>
        <v>586</v>
      </c>
    </row>
    <row r="150" spans="1:7" ht="12.75">
      <c r="A150" s="3">
        <v>146</v>
      </c>
      <c r="B150" s="6">
        <f>DATE(94,11,20)</f>
        <v>34658</v>
      </c>
      <c r="C150" s="1" t="s">
        <v>39</v>
      </c>
      <c r="D150" s="1" t="s">
        <v>170</v>
      </c>
      <c r="E150" s="7">
        <v>15</v>
      </c>
      <c r="F150" s="7">
        <f>SUM(E$5:$E150)</f>
        <v>1402</v>
      </c>
      <c r="G150" s="7">
        <f>SUM(E$93:$E150)</f>
        <v>601</v>
      </c>
    </row>
    <row r="151" spans="1:7" ht="12.75">
      <c r="A151" s="3">
        <v>147</v>
      </c>
      <c r="B151" s="6">
        <f>DATE(94,11,27)</f>
        <v>34665</v>
      </c>
      <c r="C151" s="1" t="s">
        <v>132</v>
      </c>
      <c r="D151" s="1" t="s">
        <v>171</v>
      </c>
      <c r="E151" s="7">
        <v>9</v>
      </c>
      <c r="F151" s="7">
        <f>SUM(E$5:$E151)</f>
        <v>1411</v>
      </c>
      <c r="G151" s="7">
        <f>SUM(E$93:$E151)</f>
        <v>610</v>
      </c>
    </row>
    <row r="152" spans="1:7" ht="12.75">
      <c r="A152" s="3">
        <v>148</v>
      </c>
      <c r="B152" s="6">
        <f>DATE(94,12,3)</f>
        <v>34671</v>
      </c>
      <c r="C152" s="1" t="s">
        <v>9</v>
      </c>
      <c r="D152" s="1" t="s">
        <v>172</v>
      </c>
      <c r="E152" s="7">
        <v>8</v>
      </c>
      <c r="F152" s="7">
        <f>SUM(E$5:$E152)</f>
        <v>1419</v>
      </c>
      <c r="G152" s="7">
        <f>SUM(E$93:$E152)</f>
        <v>618</v>
      </c>
    </row>
    <row r="153" spans="1:7" ht="12.75">
      <c r="A153" s="3">
        <v>149</v>
      </c>
      <c r="B153" s="6">
        <f>DATE(94,12,11)</f>
        <v>34679</v>
      </c>
      <c r="C153" s="1" t="s">
        <v>17</v>
      </c>
      <c r="D153" s="1" t="s">
        <v>173</v>
      </c>
      <c r="E153" s="7">
        <v>12</v>
      </c>
      <c r="F153" s="7">
        <f>SUM(E$5:$E153)</f>
        <v>1431</v>
      </c>
      <c r="G153" s="7">
        <f>SUM(E$93:$E153)</f>
        <v>630</v>
      </c>
    </row>
    <row r="154" spans="1:7" ht="12.75">
      <c r="A154" s="3">
        <v>150</v>
      </c>
      <c r="B154" s="6">
        <f>DATE(94,12,18)</f>
        <v>34686</v>
      </c>
      <c r="C154" s="1" t="s">
        <v>17</v>
      </c>
      <c r="D154" s="1" t="s">
        <v>102</v>
      </c>
      <c r="E154" s="7">
        <v>6</v>
      </c>
      <c r="F154" s="7">
        <f>SUM(E$5:$E154)</f>
        <v>1437</v>
      </c>
      <c r="G154" s="7">
        <f>SUM(E$93:$E154)</f>
        <v>636</v>
      </c>
    </row>
    <row r="155" spans="1:7" ht="12.75">
      <c r="A155" s="3">
        <v>151</v>
      </c>
      <c r="B155" s="6">
        <f>DATE(94,12,24)</f>
        <v>34692</v>
      </c>
      <c r="C155" s="1" t="s">
        <v>39</v>
      </c>
      <c r="D155" s="1" t="s">
        <v>174</v>
      </c>
      <c r="E155" s="7">
        <v>10</v>
      </c>
      <c r="F155" s="7">
        <f>SUM(E$5:$E155)</f>
        <v>1447</v>
      </c>
      <c r="G155" s="7">
        <f>SUM(E$93:$E155)</f>
        <v>646</v>
      </c>
    </row>
    <row r="156" spans="1:7" ht="12.75">
      <c r="A156" s="3">
        <v>152</v>
      </c>
      <c r="B156" s="6">
        <f>DATE(94,12,26)</f>
        <v>34694</v>
      </c>
      <c r="C156" s="1" t="s">
        <v>17</v>
      </c>
      <c r="D156" s="1" t="s">
        <v>175</v>
      </c>
      <c r="E156" s="7">
        <v>8</v>
      </c>
      <c r="F156" s="7">
        <f>SUM(E$5:$E156)</f>
        <v>1455</v>
      </c>
      <c r="G156" s="7">
        <f>SUM(E$93:$E156)</f>
        <v>654</v>
      </c>
    </row>
    <row r="157" spans="1:7" ht="12.75">
      <c r="A157" s="3">
        <v>153</v>
      </c>
      <c r="B157" s="6">
        <f>DATE(94,12,27)</f>
        <v>34695</v>
      </c>
      <c r="C157" s="1" t="s">
        <v>55</v>
      </c>
      <c r="D157" s="1" t="s">
        <v>176</v>
      </c>
      <c r="E157" s="7">
        <v>5</v>
      </c>
      <c r="F157" s="7">
        <f>SUM(E$5:$E157)</f>
        <v>1460</v>
      </c>
      <c r="G157" s="7">
        <f>SUM(E$93:$E157)</f>
        <v>659</v>
      </c>
    </row>
    <row r="158" spans="1:7" ht="12.75">
      <c r="A158" s="3">
        <v>154</v>
      </c>
      <c r="B158" s="6">
        <f>DATE(95,1,1)</f>
        <v>34700</v>
      </c>
      <c r="C158" s="1" t="s">
        <v>17</v>
      </c>
      <c r="D158" s="1" t="s">
        <v>177</v>
      </c>
      <c r="E158" s="7">
        <v>9</v>
      </c>
      <c r="F158" s="7">
        <f>SUM(E$5:$E158)</f>
        <v>1469</v>
      </c>
      <c r="G158" s="7">
        <f>SUM($E$158)</f>
        <v>9</v>
      </c>
    </row>
    <row r="159" spans="1:7" ht="12.75">
      <c r="A159" s="3">
        <v>155</v>
      </c>
      <c r="B159" s="6">
        <f>DATE(95,1,2)</f>
        <v>34701</v>
      </c>
      <c r="C159" s="1" t="s">
        <v>55</v>
      </c>
      <c r="D159" s="1" t="s">
        <v>16</v>
      </c>
      <c r="E159" s="7">
        <v>5</v>
      </c>
      <c r="F159" s="7">
        <f>SUM(E$5:$E159)</f>
        <v>1474</v>
      </c>
      <c r="G159" s="7">
        <f>SUM(E$158:$E159)</f>
        <v>14</v>
      </c>
    </row>
    <row r="160" spans="1:7" ht="12.75">
      <c r="A160" s="3">
        <v>156</v>
      </c>
      <c r="B160" s="6">
        <f>DATE(95,1,8)</f>
        <v>34707</v>
      </c>
      <c r="C160" s="1" t="s">
        <v>39</v>
      </c>
      <c r="D160" s="1" t="s">
        <v>178</v>
      </c>
      <c r="E160" s="7">
        <v>17</v>
      </c>
      <c r="F160" s="7">
        <f>SUM(E$5:$E160)</f>
        <v>1491</v>
      </c>
      <c r="G160" s="7">
        <f>SUM(E$158:$E160)</f>
        <v>31</v>
      </c>
    </row>
    <row r="161" spans="1:7" ht="12.75">
      <c r="A161" s="3">
        <v>157</v>
      </c>
      <c r="B161" s="6">
        <f>DATE(95,1,15)</f>
        <v>34714</v>
      </c>
      <c r="C161" s="1" t="s">
        <v>17</v>
      </c>
      <c r="D161" s="1" t="s">
        <v>179</v>
      </c>
      <c r="E161" s="7">
        <v>9</v>
      </c>
      <c r="F161" s="7">
        <f>SUM(E$5:$E161)</f>
        <v>1500</v>
      </c>
      <c r="G161" s="7">
        <f>SUM(E$158:$E161)</f>
        <v>40</v>
      </c>
    </row>
    <row r="162" spans="1:7" ht="12.75">
      <c r="A162" s="3">
        <v>158</v>
      </c>
      <c r="B162" s="6">
        <f>DATE(95,1,21)</f>
        <v>34720</v>
      </c>
      <c r="C162" s="1" t="s">
        <v>180</v>
      </c>
      <c r="D162" s="1" t="s">
        <v>181</v>
      </c>
      <c r="E162" s="7">
        <v>3</v>
      </c>
      <c r="F162" s="7">
        <f>SUM(E$5:$E162)</f>
        <v>1503</v>
      </c>
      <c r="G162" s="7">
        <f>SUM(E$158:$E162)</f>
        <v>43</v>
      </c>
    </row>
    <row r="163" spans="1:7" ht="12.75">
      <c r="A163" s="3">
        <v>159</v>
      </c>
      <c r="B163" s="6">
        <f>DATE(95,2,5)</f>
        <v>34735</v>
      </c>
      <c r="C163" s="1" t="s">
        <v>116</v>
      </c>
      <c r="D163" s="1" t="s">
        <v>182</v>
      </c>
      <c r="E163" s="7">
        <v>12</v>
      </c>
      <c r="F163" s="7">
        <f>SUM(E$5:$E163)</f>
        <v>1515</v>
      </c>
      <c r="G163" s="7">
        <f>SUM(E$158:$E163)</f>
        <v>55</v>
      </c>
    </row>
    <row r="164" spans="1:7" ht="12.75">
      <c r="A164" s="3">
        <v>160</v>
      </c>
      <c r="B164" s="6">
        <f>DATE(95,2,11)</f>
        <v>34741</v>
      </c>
      <c r="C164" s="1" t="s">
        <v>39</v>
      </c>
      <c r="D164" s="1" t="s">
        <v>183</v>
      </c>
      <c r="E164" s="7">
        <v>12</v>
      </c>
      <c r="F164" s="7">
        <f>SUM(E$5:$E164)</f>
        <v>1527</v>
      </c>
      <c r="G164" s="7">
        <f>SUM(E$158:$E164)</f>
        <v>67</v>
      </c>
    </row>
    <row r="165" spans="1:7" ht="12.75">
      <c r="A165" s="3">
        <v>161</v>
      </c>
      <c r="B165" s="6">
        <f>DATE(95,2,12)</f>
        <v>34742</v>
      </c>
      <c r="C165" s="1" t="s">
        <v>17</v>
      </c>
      <c r="D165" s="1" t="s">
        <v>184</v>
      </c>
      <c r="E165" s="7">
        <v>11</v>
      </c>
      <c r="F165" s="7">
        <f>SUM(E$5:$E165)</f>
        <v>1538</v>
      </c>
      <c r="G165" s="7">
        <f>SUM(E$158:$E165)</f>
        <v>78</v>
      </c>
    </row>
    <row r="166" spans="1:7" ht="12.75">
      <c r="A166" s="3">
        <v>162</v>
      </c>
      <c r="B166" s="6">
        <f>DATE(95,2,19)</f>
        <v>34749</v>
      </c>
      <c r="C166" s="1" t="s">
        <v>17</v>
      </c>
      <c r="D166" s="1" t="s">
        <v>73</v>
      </c>
      <c r="E166" s="7">
        <v>7</v>
      </c>
      <c r="F166" s="7">
        <f>SUM(E$5:$E166)</f>
        <v>1545</v>
      </c>
      <c r="G166" s="7">
        <f>SUM(E$158:$E166)</f>
        <v>85</v>
      </c>
    </row>
    <row r="167" spans="1:7" ht="12.75">
      <c r="A167" s="3">
        <v>163</v>
      </c>
      <c r="B167" s="6">
        <f>DATE(95,2,20)</f>
        <v>34750</v>
      </c>
      <c r="C167" s="1" t="s">
        <v>185</v>
      </c>
      <c r="D167" s="1" t="s">
        <v>172</v>
      </c>
      <c r="E167" s="7">
        <v>10</v>
      </c>
      <c r="F167" s="7">
        <f>SUM(E$5:$E167)</f>
        <v>1555</v>
      </c>
      <c r="G167" s="7">
        <f>SUM(E$158:$E167)</f>
        <v>95</v>
      </c>
    </row>
    <row r="168" spans="1:7" ht="12.75">
      <c r="A168" s="3">
        <v>164</v>
      </c>
      <c r="B168" s="6">
        <f>DATE(95,2,26)</f>
        <v>34756</v>
      </c>
      <c r="C168" s="1" t="s">
        <v>17</v>
      </c>
      <c r="D168" s="1" t="s">
        <v>186</v>
      </c>
      <c r="E168" s="7">
        <v>10</v>
      </c>
      <c r="F168" s="7">
        <f>SUM(E$5:$E168)</f>
        <v>1565</v>
      </c>
      <c r="G168" s="7">
        <f>SUM(E$158:$E168)</f>
        <v>105</v>
      </c>
    </row>
    <row r="169" spans="1:7" ht="12.75">
      <c r="A169" s="3">
        <v>165</v>
      </c>
      <c r="B169" s="6">
        <f>DATE(95,3,5)</f>
        <v>34763</v>
      </c>
      <c r="C169" s="1" t="s">
        <v>39</v>
      </c>
      <c r="D169" s="1" t="s">
        <v>187</v>
      </c>
      <c r="E169" s="7">
        <v>19</v>
      </c>
      <c r="F169" s="7">
        <f>SUM(E$5:$E169)</f>
        <v>1584</v>
      </c>
      <c r="G169" s="7">
        <f>SUM(E$158:$E169)</f>
        <v>124</v>
      </c>
    </row>
    <row r="170" spans="1:7" ht="12.75">
      <c r="A170" s="3">
        <v>166</v>
      </c>
      <c r="B170" s="6">
        <f>DATE(95,3,11)</f>
        <v>34769</v>
      </c>
      <c r="C170" s="1" t="s">
        <v>39</v>
      </c>
      <c r="D170" s="1" t="s">
        <v>188</v>
      </c>
      <c r="E170" s="7">
        <v>18</v>
      </c>
      <c r="F170" s="7">
        <f>SUM(E$5:$E170)</f>
        <v>1602</v>
      </c>
      <c r="G170" s="7">
        <f>SUM(E$158:$E170)</f>
        <v>142</v>
      </c>
    </row>
    <row r="171" spans="1:7" ht="12.75">
      <c r="A171" s="3">
        <v>167</v>
      </c>
      <c r="B171" s="6">
        <f>DATE(95,3,18)</f>
        <v>34776</v>
      </c>
      <c r="C171" s="1" t="s">
        <v>189</v>
      </c>
      <c r="D171" s="1" t="s">
        <v>190</v>
      </c>
      <c r="E171" s="7">
        <v>10</v>
      </c>
      <c r="F171" s="7">
        <f>SUM(E$5:$E171)</f>
        <v>1612</v>
      </c>
      <c r="G171" s="7">
        <f>SUM(E$158:$E171)</f>
        <v>152</v>
      </c>
    </row>
    <row r="172" spans="1:7" ht="12.75">
      <c r="A172" s="3">
        <v>168</v>
      </c>
      <c r="B172" s="6">
        <f>DATE(95,3,19)</f>
        <v>34777</v>
      </c>
      <c r="C172" s="1" t="s">
        <v>17</v>
      </c>
      <c r="D172" s="1" t="s">
        <v>191</v>
      </c>
      <c r="E172" s="3">
        <v>5</v>
      </c>
      <c r="F172" s="7">
        <f>SUM(E$5:$E172)</f>
        <v>1617</v>
      </c>
      <c r="G172" s="7">
        <f>SUM(E$158:$E172)</f>
        <v>157</v>
      </c>
    </row>
    <row r="173" spans="1:7" ht="12.75">
      <c r="A173" s="3">
        <v>169</v>
      </c>
      <c r="B173" s="6">
        <f>DATE(95,3,26)</f>
        <v>34784</v>
      </c>
      <c r="C173" s="1" t="s">
        <v>17</v>
      </c>
      <c r="D173" s="1" t="s">
        <v>192</v>
      </c>
      <c r="E173" s="7">
        <v>13</v>
      </c>
      <c r="F173" s="7">
        <f>SUM(E$5:$E173)</f>
        <v>1630</v>
      </c>
      <c r="G173" s="7">
        <f>SUM(E$158:$E173)</f>
        <v>170</v>
      </c>
    </row>
    <row r="174" spans="1:7" ht="12.75">
      <c r="A174" s="3">
        <v>170</v>
      </c>
      <c r="B174" s="6">
        <f>DATE(95,3,31)</f>
        <v>34789</v>
      </c>
      <c r="C174" s="1" t="s">
        <v>17</v>
      </c>
      <c r="D174" s="1" t="s">
        <v>193</v>
      </c>
      <c r="E174" s="7">
        <v>9</v>
      </c>
      <c r="F174" s="7">
        <f>SUM(E$5:$E174)</f>
        <v>1639</v>
      </c>
      <c r="G174" s="7">
        <f>SUM(E$158:$E174)</f>
        <v>179</v>
      </c>
    </row>
    <row r="175" spans="1:7" ht="12.75">
      <c r="A175" s="3">
        <v>171</v>
      </c>
      <c r="B175" s="6">
        <f>DATE(95,4,1)</f>
        <v>34790</v>
      </c>
      <c r="C175" s="1" t="s">
        <v>39</v>
      </c>
      <c r="D175" s="1" t="s">
        <v>194</v>
      </c>
      <c r="E175" s="7">
        <v>21</v>
      </c>
      <c r="F175" s="7">
        <f>SUM(E$5:$E175)</f>
        <v>1660</v>
      </c>
      <c r="G175" s="7">
        <f>SUM(E$158:$E175)</f>
        <v>200</v>
      </c>
    </row>
    <row r="176" spans="1:7" ht="12.75">
      <c r="A176" s="3">
        <v>172</v>
      </c>
      <c r="B176" s="6">
        <f>DATE(95,4,2)</f>
        <v>34791</v>
      </c>
      <c r="C176" s="1" t="s">
        <v>17</v>
      </c>
      <c r="D176" s="1" t="s">
        <v>195</v>
      </c>
      <c r="E176" s="7">
        <v>8</v>
      </c>
      <c r="F176" s="7">
        <f>SUM(E$5:$E176)</f>
        <v>1668</v>
      </c>
      <c r="G176" s="7">
        <f>SUM(E$158:$E176)</f>
        <v>208</v>
      </c>
    </row>
    <row r="177" spans="1:7" ht="12.75">
      <c r="A177" s="3">
        <v>173</v>
      </c>
      <c r="B177" s="6">
        <f>DATE(95,4,9)</f>
        <v>34798</v>
      </c>
      <c r="C177" s="1" t="s">
        <v>132</v>
      </c>
      <c r="D177" s="1" t="s">
        <v>196</v>
      </c>
      <c r="E177" s="7">
        <v>10</v>
      </c>
      <c r="F177" s="7">
        <f>SUM(E$5:$E177)</f>
        <v>1678</v>
      </c>
      <c r="G177" s="7">
        <f>SUM(E$158:$E177)</f>
        <v>218</v>
      </c>
    </row>
    <row r="178" spans="1:7" ht="12.75">
      <c r="A178" s="3">
        <v>174</v>
      </c>
      <c r="B178" s="6">
        <f>DATE(95,4,14)</f>
        <v>34803</v>
      </c>
      <c r="C178" s="1" t="s">
        <v>39</v>
      </c>
      <c r="D178" s="1" t="s">
        <v>197</v>
      </c>
      <c r="E178" s="7">
        <v>17</v>
      </c>
      <c r="F178" s="7">
        <f>SUM(E$5:$E178)</f>
        <v>1695</v>
      </c>
      <c r="G178" s="7">
        <f>SUM(E$158:$E178)</f>
        <v>235</v>
      </c>
    </row>
    <row r="179" spans="1:7" ht="12.75">
      <c r="A179" s="3">
        <v>175</v>
      </c>
      <c r="B179" s="6">
        <f>DATE(95,4,16)</f>
        <v>34805</v>
      </c>
      <c r="C179" s="1" t="s">
        <v>17</v>
      </c>
      <c r="D179" s="1" t="s">
        <v>156</v>
      </c>
      <c r="E179" s="7">
        <v>12</v>
      </c>
      <c r="F179" s="7">
        <f>SUM(E$5:$E179)</f>
        <v>1707</v>
      </c>
      <c r="G179" s="7">
        <f>SUM(E$158:$E179)</f>
        <v>247</v>
      </c>
    </row>
    <row r="180" spans="1:7" ht="12.75">
      <c r="A180" s="3">
        <v>176</v>
      </c>
      <c r="B180" s="6">
        <f>DATE(95,4,17)</f>
        <v>34806</v>
      </c>
      <c r="C180" s="1" t="s">
        <v>55</v>
      </c>
      <c r="D180" s="1" t="s">
        <v>198</v>
      </c>
      <c r="E180" s="7">
        <v>10</v>
      </c>
      <c r="F180" s="7">
        <f>SUM(E$5:$E180)</f>
        <v>1717</v>
      </c>
      <c r="G180" s="7">
        <f>SUM(E$158:$E180)</f>
        <v>257</v>
      </c>
    </row>
    <row r="181" spans="1:7" ht="12.75">
      <c r="A181" s="3">
        <v>177</v>
      </c>
      <c r="B181" s="6">
        <f>DATE(95,4,23)</f>
        <v>34812</v>
      </c>
      <c r="C181" s="1" t="s">
        <v>17</v>
      </c>
      <c r="D181" s="1" t="s">
        <v>199</v>
      </c>
      <c r="E181" s="7">
        <v>14</v>
      </c>
      <c r="F181" s="7">
        <f>SUM(E$5:$E181)</f>
        <v>1731</v>
      </c>
      <c r="G181" s="7">
        <f>SUM(E$158:$E181)</f>
        <v>271</v>
      </c>
    </row>
    <row r="182" spans="1:7" ht="12.75">
      <c r="A182" s="3">
        <v>178</v>
      </c>
      <c r="B182" s="6">
        <f>DATE(95,4,29)</f>
        <v>34818</v>
      </c>
      <c r="C182" s="1" t="s">
        <v>116</v>
      </c>
      <c r="D182" s="1" t="s">
        <v>200</v>
      </c>
      <c r="E182" s="7">
        <v>11</v>
      </c>
      <c r="F182" s="7">
        <f>SUM(E$5:$E182)</f>
        <v>1742</v>
      </c>
      <c r="G182" s="7">
        <f>SUM(E$158:$E182)</f>
        <v>282</v>
      </c>
    </row>
    <row r="183" spans="1:7" ht="12.75">
      <c r="A183" s="3">
        <v>179</v>
      </c>
      <c r="B183" s="6">
        <f>DATE(95,5,7)</f>
        <v>34826</v>
      </c>
      <c r="C183" s="1" t="s">
        <v>17</v>
      </c>
      <c r="D183" s="1" t="s">
        <v>201</v>
      </c>
      <c r="E183" s="7">
        <v>10</v>
      </c>
      <c r="F183" s="7">
        <f>SUM(E$5:$E183)</f>
        <v>1752</v>
      </c>
      <c r="G183" s="7">
        <f>SUM(E$158:$E183)</f>
        <v>292</v>
      </c>
    </row>
    <row r="184" spans="1:7" ht="12.75">
      <c r="A184" s="3">
        <v>180</v>
      </c>
      <c r="B184" s="6">
        <f>DATE(95,5,8)</f>
        <v>34827</v>
      </c>
      <c r="C184" s="1" t="s">
        <v>39</v>
      </c>
      <c r="D184" s="1" t="s">
        <v>97</v>
      </c>
      <c r="E184" s="7">
        <v>15</v>
      </c>
      <c r="F184" s="7">
        <f>SUM(E$5:$E184)</f>
        <v>1767</v>
      </c>
      <c r="G184" s="7">
        <f>SUM(E$158:$E184)</f>
        <v>307</v>
      </c>
    </row>
    <row r="185" spans="1:7" ht="12.75">
      <c r="A185" s="3">
        <v>181</v>
      </c>
      <c r="B185" s="6">
        <f>DATE(95,5,14)</f>
        <v>34833</v>
      </c>
      <c r="C185" s="1" t="s">
        <v>132</v>
      </c>
      <c r="D185" s="1" t="s">
        <v>202</v>
      </c>
      <c r="E185" s="7">
        <v>15</v>
      </c>
      <c r="F185" s="7">
        <f>SUM(E$5:$E185)</f>
        <v>1782</v>
      </c>
      <c r="G185" s="7">
        <f>SUM(E$158:$E185)</f>
        <v>322</v>
      </c>
    </row>
    <row r="186" spans="1:7" ht="12.75">
      <c r="A186" s="3">
        <v>182</v>
      </c>
      <c r="B186" s="6">
        <f>DATE(95,5,28)</f>
        <v>34847</v>
      </c>
      <c r="C186" s="1" t="s">
        <v>124</v>
      </c>
      <c r="D186" s="1" t="s">
        <v>203</v>
      </c>
      <c r="E186" s="7">
        <v>13</v>
      </c>
      <c r="F186" s="7">
        <f>SUM(E$5:$E186)</f>
        <v>1795</v>
      </c>
      <c r="G186" s="7">
        <f>SUM(E$158:$E186)</f>
        <v>335</v>
      </c>
    </row>
    <row r="187" spans="1:7" ht="12.75">
      <c r="A187" s="3">
        <v>183</v>
      </c>
      <c r="B187" s="6">
        <f>DATE(95,5,30)</f>
        <v>34849</v>
      </c>
      <c r="C187" s="1" t="s">
        <v>110</v>
      </c>
      <c r="D187" s="1" t="s">
        <v>204</v>
      </c>
      <c r="E187" s="7">
        <v>14</v>
      </c>
      <c r="F187" s="7">
        <f>SUM(E$5:$E187)</f>
        <v>1809</v>
      </c>
      <c r="G187" s="7">
        <f>SUM(E$158:$E187)</f>
        <v>349</v>
      </c>
    </row>
    <row r="188" spans="1:7" ht="12.75">
      <c r="A188" s="3">
        <v>184</v>
      </c>
      <c r="B188" s="6">
        <f>DATE(95,6,4)</f>
        <v>34854</v>
      </c>
      <c r="C188" s="1" t="s">
        <v>17</v>
      </c>
      <c r="D188" s="1" t="s">
        <v>61</v>
      </c>
      <c r="E188" s="7">
        <v>9</v>
      </c>
      <c r="F188" s="7">
        <f>SUM(E$5:$E188)</f>
        <v>1818</v>
      </c>
      <c r="G188" s="7">
        <f>SUM(E$158:$E188)</f>
        <v>358</v>
      </c>
    </row>
    <row r="189" spans="1:7" ht="12.75">
      <c r="A189" s="3">
        <v>185</v>
      </c>
      <c r="B189" s="6">
        <f>DATE(95,6,11)</f>
        <v>34861</v>
      </c>
      <c r="C189" s="1" t="s">
        <v>39</v>
      </c>
      <c r="D189" s="1" t="s">
        <v>205</v>
      </c>
      <c r="E189" s="7">
        <v>27</v>
      </c>
      <c r="F189" s="7">
        <f>SUM(E$5:$E189)</f>
        <v>1845</v>
      </c>
      <c r="G189" s="7">
        <f>SUM(E$158:$E189)</f>
        <v>385</v>
      </c>
    </row>
    <row r="190" spans="1:7" ht="12.75">
      <c r="A190" s="3">
        <v>186</v>
      </c>
      <c r="B190" s="6">
        <f>DATE(95,6,17)</f>
        <v>34867</v>
      </c>
      <c r="C190" s="1" t="s">
        <v>39</v>
      </c>
      <c r="D190" s="1" t="s">
        <v>206</v>
      </c>
      <c r="E190" s="7">
        <v>28</v>
      </c>
      <c r="F190" s="7">
        <f>SUM(E$5:$E190)</f>
        <v>1873</v>
      </c>
      <c r="G190" s="7">
        <f>SUM(E$158:$E190)</f>
        <v>413</v>
      </c>
    </row>
    <row r="191" spans="1:7" ht="12.75">
      <c r="A191" s="3">
        <v>187</v>
      </c>
      <c r="B191" s="6">
        <f>DATE(95,6,18)</f>
        <v>34868</v>
      </c>
      <c r="C191" s="1" t="s">
        <v>55</v>
      </c>
      <c r="D191" s="1" t="s">
        <v>18</v>
      </c>
      <c r="E191" s="7">
        <v>8</v>
      </c>
      <c r="F191" s="7">
        <f>SUM(E$5:$E191)</f>
        <v>1881</v>
      </c>
      <c r="G191" s="7">
        <f>SUM(E$158:$E191)</f>
        <v>421</v>
      </c>
    </row>
    <row r="192" spans="1:7" ht="12.75">
      <c r="A192" s="3">
        <v>188</v>
      </c>
      <c r="B192" s="6">
        <f>DATE(95,6,25)</f>
        <v>34875</v>
      </c>
      <c r="C192" s="1" t="s">
        <v>132</v>
      </c>
      <c r="D192" s="1" t="s">
        <v>207</v>
      </c>
      <c r="E192" s="7">
        <v>18</v>
      </c>
      <c r="F192" s="7">
        <f>SUM(E$5:$E192)</f>
        <v>1899</v>
      </c>
      <c r="G192" s="7">
        <f>SUM(E$158:$E192)</f>
        <v>439</v>
      </c>
    </row>
    <row r="193" spans="1:7" ht="12.75">
      <c r="A193" s="3">
        <v>189</v>
      </c>
      <c r="B193" s="6">
        <f>DATE(95,7,2)</f>
        <v>34882</v>
      </c>
      <c r="C193" s="1" t="s">
        <v>17</v>
      </c>
      <c r="D193" s="1" t="s">
        <v>98</v>
      </c>
      <c r="E193" s="7">
        <v>12</v>
      </c>
      <c r="F193" s="7">
        <f>SUM(E$5:$E193)</f>
        <v>1911</v>
      </c>
      <c r="G193" s="7">
        <f>SUM(E$158:$E193)</f>
        <v>451</v>
      </c>
    </row>
    <row r="194" spans="1:7" ht="12.75">
      <c r="A194" s="3">
        <v>190</v>
      </c>
      <c r="B194" s="6">
        <f>DATE(95,7,9)</f>
        <v>34889</v>
      </c>
      <c r="C194" s="1" t="s">
        <v>208</v>
      </c>
      <c r="D194" s="1" t="s">
        <v>209</v>
      </c>
      <c r="E194" s="7">
        <v>12</v>
      </c>
      <c r="F194" s="7">
        <f>SUM(E$5:$E194)</f>
        <v>1923</v>
      </c>
      <c r="G194" s="7">
        <f>SUM(E$158:$E194)</f>
        <v>463</v>
      </c>
    </row>
    <row r="195" spans="1:7" ht="12.75">
      <c r="A195" s="3">
        <v>191</v>
      </c>
      <c r="B195" s="6">
        <f>DATE(95,7,16)</f>
        <v>34896</v>
      </c>
      <c r="C195" s="1" t="s">
        <v>17</v>
      </c>
      <c r="D195" s="1" t="s">
        <v>210</v>
      </c>
      <c r="E195" s="3">
        <v>15</v>
      </c>
      <c r="F195" s="7">
        <f>SUM(E$5:$E195)</f>
        <v>1938</v>
      </c>
      <c r="G195" s="7">
        <f>SUM(E$158:$E195)</f>
        <v>478</v>
      </c>
    </row>
    <row r="196" spans="1:7" ht="12.75">
      <c r="A196" s="3">
        <v>192</v>
      </c>
      <c r="B196" s="6">
        <f>DATE(95,7,23)</f>
        <v>34903</v>
      </c>
      <c r="C196" s="1" t="s">
        <v>211</v>
      </c>
      <c r="D196" s="1" t="s">
        <v>212</v>
      </c>
      <c r="E196" s="3">
        <v>10</v>
      </c>
      <c r="F196" s="7">
        <f>SUM(E$5:$E196)</f>
        <v>1948</v>
      </c>
      <c r="G196" s="7">
        <f>SUM(E$158:$E196)</f>
        <v>488</v>
      </c>
    </row>
    <row r="197" spans="1:7" ht="12.75">
      <c r="A197" s="3">
        <v>193</v>
      </c>
      <c r="B197" s="6">
        <f>DATE(95,7,24)</f>
        <v>34904</v>
      </c>
      <c r="C197" s="1" t="s">
        <v>211</v>
      </c>
      <c r="D197" s="1" t="s">
        <v>213</v>
      </c>
      <c r="E197" s="3">
        <v>8</v>
      </c>
      <c r="F197" s="7">
        <f>SUM(E$5:$E197)</f>
        <v>1956</v>
      </c>
      <c r="G197" s="7">
        <f>SUM(E$158:$E197)</f>
        <v>496</v>
      </c>
    </row>
    <row r="198" spans="1:7" ht="12.75">
      <c r="A198" s="3">
        <v>194</v>
      </c>
      <c r="B198" s="6">
        <f>DATE(95,7,25)</f>
        <v>34905</v>
      </c>
      <c r="C198" s="1" t="s">
        <v>211</v>
      </c>
      <c r="D198" s="1" t="s">
        <v>214</v>
      </c>
      <c r="E198" s="3">
        <v>10</v>
      </c>
      <c r="F198" s="7">
        <f>SUM(E$5:$E198)</f>
        <v>1966</v>
      </c>
      <c r="G198" s="7">
        <f>SUM(E$158:$E198)</f>
        <v>506</v>
      </c>
    </row>
    <row r="199" spans="1:7" ht="12.75">
      <c r="A199" s="3">
        <v>195</v>
      </c>
      <c r="B199" s="6">
        <f>DATE(95,7,26)</f>
        <v>34906</v>
      </c>
      <c r="C199" s="1" t="s">
        <v>211</v>
      </c>
      <c r="D199" s="1" t="s">
        <v>215</v>
      </c>
      <c r="E199" s="3">
        <v>16</v>
      </c>
      <c r="F199" s="7">
        <f>SUM(E$5:$E199)</f>
        <v>1982</v>
      </c>
      <c r="G199" s="7">
        <f>SUM(E$158:$E199)</f>
        <v>522</v>
      </c>
    </row>
    <row r="200" spans="1:7" ht="12.75">
      <c r="A200" s="3">
        <v>196</v>
      </c>
      <c r="B200" s="6">
        <f>DATE(95,7,27)</f>
        <v>34907</v>
      </c>
      <c r="C200" s="1" t="s">
        <v>211</v>
      </c>
      <c r="D200" s="1" t="s">
        <v>216</v>
      </c>
      <c r="E200" s="3">
        <v>7</v>
      </c>
      <c r="F200" s="7">
        <f>SUM(E$5:$E200)</f>
        <v>1989</v>
      </c>
      <c r="G200" s="7">
        <f>SUM(E$158:$E200)</f>
        <v>529</v>
      </c>
    </row>
    <row r="201" spans="1:7" ht="12.75">
      <c r="A201" s="3">
        <v>197</v>
      </c>
      <c r="B201" s="6">
        <f>DATE(95,7,28)</f>
        <v>34908</v>
      </c>
      <c r="C201" s="1" t="s">
        <v>211</v>
      </c>
      <c r="D201" s="1" t="s">
        <v>217</v>
      </c>
      <c r="E201" s="3">
        <v>8</v>
      </c>
      <c r="F201" s="7">
        <f>SUM(E$5:$E201)</f>
        <v>1997</v>
      </c>
      <c r="G201" s="7">
        <f>SUM(E$158:$E201)</f>
        <v>537</v>
      </c>
    </row>
    <row r="202" spans="1:7" ht="12.75">
      <c r="A202" s="3">
        <v>198</v>
      </c>
      <c r="B202" s="6">
        <f>DATE(95,7,30)</f>
        <v>34910</v>
      </c>
      <c r="C202" s="1" t="s">
        <v>17</v>
      </c>
      <c r="D202" s="1" t="s">
        <v>72</v>
      </c>
      <c r="E202" s="3">
        <v>14</v>
      </c>
      <c r="F202" s="7">
        <f>SUM(E$5:$E202)</f>
        <v>2011</v>
      </c>
      <c r="G202" s="7">
        <f>SUM(E$158:$E202)</f>
        <v>551</v>
      </c>
    </row>
    <row r="203" spans="1:7" ht="12.75">
      <c r="A203" s="3">
        <v>199</v>
      </c>
      <c r="B203" s="6">
        <f>DATE(95,8,6)</f>
        <v>34917</v>
      </c>
      <c r="C203" s="1" t="s">
        <v>55</v>
      </c>
      <c r="D203" s="1" t="s">
        <v>182</v>
      </c>
      <c r="E203" s="3">
        <v>6</v>
      </c>
      <c r="F203" s="7">
        <f>SUM(E$5:$E203)</f>
        <v>2017</v>
      </c>
      <c r="G203" s="7">
        <f>SUM(E$158:$E203)</f>
        <v>557</v>
      </c>
    </row>
    <row r="204" spans="1:7" ht="12.75">
      <c r="A204" s="3">
        <v>200</v>
      </c>
      <c r="B204" s="6">
        <f>DATE(95,8,13)</f>
        <v>34924</v>
      </c>
      <c r="C204" s="1" t="s">
        <v>17</v>
      </c>
      <c r="D204" s="1" t="s">
        <v>24</v>
      </c>
      <c r="E204" s="3">
        <v>11</v>
      </c>
      <c r="F204" s="7">
        <f>SUM(E$5:$E204)</f>
        <v>2028</v>
      </c>
      <c r="G204" s="7">
        <f>SUM(E$158:$E204)</f>
        <v>568</v>
      </c>
    </row>
    <row r="205" spans="1:7" ht="12.75">
      <c r="A205" s="3">
        <v>201</v>
      </c>
      <c r="B205" s="6">
        <f>DATE(95,8,16)</f>
        <v>34927</v>
      </c>
      <c r="C205" s="1" t="s">
        <v>39</v>
      </c>
      <c r="D205" s="1" t="s">
        <v>218</v>
      </c>
      <c r="E205" s="3">
        <v>13</v>
      </c>
      <c r="F205" s="7">
        <f>SUM(E$5:$E205)</f>
        <v>2041</v>
      </c>
      <c r="G205" s="7">
        <f>SUM(E$158:$E205)</f>
        <v>581</v>
      </c>
    </row>
    <row r="206" spans="1:7" ht="12.75">
      <c r="A206" s="3">
        <v>202</v>
      </c>
      <c r="B206" s="6">
        <f>DATE(95,8,20)</f>
        <v>34931</v>
      </c>
      <c r="C206" s="1" t="s">
        <v>219</v>
      </c>
      <c r="D206" s="1" t="s">
        <v>174</v>
      </c>
      <c r="E206" s="3">
        <v>7</v>
      </c>
      <c r="F206" s="7">
        <f>SUM(E$5:$E206)</f>
        <v>2048</v>
      </c>
      <c r="G206" s="7">
        <f>SUM(E$158:$E206)</f>
        <v>588</v>
      </c>
    </row>
    <row r="207" spans="1:7" ht="12.75">
      <c r="A207" s="3">
        <v>203</v>
      </c>
      <c r="B207" s="6">
        <f>DATE(95,8,26)</f>
        <v>34937</v>
      </c>
      <c r="C207" s="1" t="s">
        <v>110</v>
      </c>
      <c r="D207" s="1" t="s">
        <v>220</v>
      </c>
      <c r="E207" s="3">
        <v>18</v>
      </c>
      <c r="F207" s="7">
        <f>SUM(E$5:$E207)</f>
        <v>2066</v>
      </c>
      <c r="G207" s="7">
        <f>SUM(E$158:$E207)</f>
        <v>606</v>
      </c>
    </row>
    <row r="208" spans="1:7" ht="12.75">
      <c r="A208" s="3">
        <v>204</v>
      </c>
      <c r="B208" s="6">
        <f>DATE(95,8,29)</f>
        <v>34940</v>
      </c>
      <c r="C208" s="1" t="s">
        <v>219</v>
      </c>
      <c r="D208" s="1" t="s">
        <v>97</v>
      </c>
      <c r="E208" s="3">
        <v>13</v>
      </c>
      <c r="F208" s="7">
        <f>SUM(E$5:$E208)</f>
        <v>2079</v>
      </c>
      <c r="G208" s="7">
        <f>SUM(E$158:$E208)</f>
        <v>619</v>
      </c>
    </row>
    <row r="209" spans="1:7" ht="12.75">
      <c r="A209" s="3">
        <v>205</v>
      </c>
      <c r="B209" s="6">
        <f>DATE(95,9,2)</f>
        <v>34944</v>
      </c>
      <c r="C209" s="1" t="s">
        <v>221</v>
      </c>
      <c r="D209" s="1" t="s">
        <v>222</v>
      </c>
      <c r="E209" s="3">
        <v>9</v>
      </c>
      <c r="F209" s="7">
        <f>SUM(E$5:$E209)</f>
        <v>2088</v>
      </c>
      <c r="G209" s="7">
        <f>SUM(E$158:$E209)</f>
        <v>628</v>
      </c>
    </row>
    <row r="210" spans="1:7" ht="12.75">
      <c r="A210" s="3">
        <v>206</v>
      </c>
      <c r="B210" s="6">
        <f>DATE(95,9,3)</f>
        <v>34945</v>
      </c>
      <c r="C210" s="1" t="s">
        <v>221</v>
      </c>
      <c r="D210" s="1" t="s">
        <v>223</v>
      </c>
      <c r="E210" s="3">
        <v>7</v>
      </c>
      <c r="F210" s="7">
        <f>SUM(E$5:$E210)</f>
        <v>2095</v>
      </c>
      <c r="G210" s="7">
        <f>SUM(E$158:$E210)</f>
        <v>635</v>
      </c>
    </row>
    <row r="211" spans="1:7" ht="12.75">
      <c r="A211" s="3">
        <v>207</v>
      </c>
      <c r="B211" s="6">
        <f>DATE(95,9,10)</f>
        <v>34952</v>
      </c>
      <c r="C211" s="1" t="s">
        <v>224</v>
      </c>
      <c r="D211" s="1" t="s">
        <v>0</v>
      </c>
      <c r="E211" s="3">
        <v>15</v>
      </c>
      <c r="F211" s="7">
        <f>SUM(E$5:$E211)</f>
        <v>2110</v>
      </c>
      <c r="G211" s="7">
        <f>SUM(E$158:$E211)</f>
        <v>650</v>
      </c>
    </row>
    <row r="212" spans="1:7" ht="12.75">
      <c r="A212" s="3">
        <v>208</v>
      </c>
      <c r="B212" s="6">
        <f>DATE(95,9,17)</f>
        <v>34959</v>
      </c>
      <c r="C212" s="1" t="s">
        <v>17</v>
      </c>
      <c r="D212" s="1" t="s">
        <v>63</v>
      </c>
      <c r="E212" s="3">
        <v>6</v>
      </c>
      <c r="F212" s="7">
        <f>SUM(E$5:$E212)</f>
        <v>2116</v>
      </c>
      <c r="G212" s="7">
        <f>SUM(E$158:$E212)</f>
        <v>656</v>
      </c>
    </row>
    <row r="213" spans="1:7" ht="12.75">
      <c r="A213" s="3">
        <v>209</v>
      </c>
      <c r="B213" s="6">
        <f>DATE(95,9,23)</f>
        <v>34965</v>
      </c>
      <c r="C213" s="1" t="s">
        <v>219</v>
      </c>
      <c r="D213" s="1" t="s">
        <v>225</v>
      </c>
      <c r="E213" s="3">
        <v>11</v>
      </c>
      <c r="F213" s="7">
        <f>SUM(E$5:$E213)</f>
        <v>2127</v>
      </c>
      <c r="G213" s="7">
        <f>SUM(E$158:$E213)</f>
        <v>667</v>
      </c>
    </row>
    <row r="214" spans="1:7" ht="12.75">
      <c r="A214" s="3">
        <v>210</v>
      </c>
      <c r="B214" s="6">
        <f>DATE(95,10,1)</f>
        <v>34973</v>
      </c>
      <c r="C214" s="1" t="s">
        <v>226</v>
      </c>
      <c r="D214" s="1" t="s">
        <v>27</v>
      </c>
      <c r="E214" s="3">
        <v>5</v>
      </c>
      <c r="F214" s="7">
        <f>SUM(E$5:$E214)</f>
        <v>2132</v>
      </c>
      <c r="G214" s="7">
        <f>SUM(E$158:$E214)</f>
        <v>672</v>
      </c>
    </row>
    <row r="215" spans="1:7" ht="12.75">
      <c r="A215" s="3">
        <v>211</v>
      </c>
      <c r="B215" s="6">
        <f>DATE(95,10,15)</f>
        <v>34987</v>
      </c>
      <c r="C215" s="1" t="s">
        <v>227</v>
      </c>
      <c r="D215" s="1" t="s">
        <v>228</v>
      </c>
      <c r="E215" s="3">
        <v>5</v>
      </c>
      <c r="F215" s="7">
        <f>SUM(E$5:$E215)</f>
        <v>2137</v>
      </c>
      <c r="G215" s="7">
        <f>SUM(E$158:$E215)</f>
        <v>677</v>
      </c>
    </row>
    <row r="216" spans="1:7" ht="12.75">
      <c r="A216" s="3">
        <v>212</v>
      </c>
      <c r="B216" s="6">
        <f>DATE(95,11,12)</f>
        <v>35015</v>
      </c>
      <c r="C216" s="1" t="s">
        <v>17</v>
      </c>
      <c r="D216" s="1" t="s">
        <v>174</v>
      </c>
      <c r="E216" s="3">
        <v>6</v>
      </c>
      <c r="F216" s="7">
        <f>SUM(E$5:$E216)</f>
        <v>2143</v>
      </c>
      <c r="G216" s="7">
        <f>SUM(E$158:$E216)</f>
        <v>683</v>
      </c>
    </row>
    <row r="217" spans="1:7" ht="12.75">
      <c r="A217" s="3">
        <v>213</v>
      </c>
      <c r="B217" s="6">
        <f>DATE(95,11,19)</f>
        <v>35022</v>
      </c>
      <c r="C217" s="1" t="s">
        <v>17</v>
      </c>
      <c r="D217" s="1" t="s">
        <v>229</v>
      </c>
      <c r="E217" s="3">
        <v>11</v>
      </c>
      <c r="F217" s="7">
        <f>SUM(E$5:$E217)</f>
        <v>2154</v>
      </c>
      <c r="G217" s="7">
        <f>SUM(E$158:$E217)</f>
        <v>694</v>
      </c>
    </row>
    <row r="218" spans="1:7" ht="12.75">
      <c r="A218" s="3">
        <v>214</v>
      </c>
      <c r="B218" s="6">
        <f>DATE(95,11,26)</f>
        <v>35029</v>
      </c>
      <c r="C218" s="1" t="s">
        <v>17</v>
      </c>
      <c r="D218" s="1" t="s">
        <v>230</v>
      </c>
      <c r="E218" s="3">
        <v>5</v>
      </c>
      <c r="F218" s="7">
        <f>SUM(E$5:$E218)</f>
        <v>2159</v>
      </c>
      <c r="G218" s="7">
        <f>SUM(E$158:$E218)</f>
        <v>699</v>
      </c>
    </row>
    <row r="219" spans="1:7" ht="12.75">
      <c r="A219" s="3">
        <v>215</v>
      </c>
      <c r="B219" s="6">
        <f>DATE(95,12,3)</f>
        <v>35036</v>
      </c>
      <c r="C219" s="1" t="s">
        <v>17</v>
      </c>
      <c r="D219" s="1" t="s">
        <v>231</v>
      </c>
      <c r="E219" s="3">
        <v>11</v>
      </c>
      <c r="F219" s="7">
        <f>SUM(E$5:$E219)</f>
        <v>2170</v>
      </c>
      <c r="G219" s="7">
        <f>SUM(E$158:$E219)</f>
        <v>710</v>
      </c>
    </row>
    <row r="220" spans="1:7" ht="12.75">
      <c r="A220" s="3">
        <v>216</v>
      </c>
      <c r="B220" s="6">
        <f>DATE(95,12,9)</f>
        <v>35042</v>
      </c>
      <c r="C220" s="1" t="s">
        <v>219</v>
      </c>
      <c r="D220" s="1" t="s">
        <v>138</v>
      </c>
      <c r="E220" s="3">
        <v>7</v>
      </c>
      <c r="F220" s="7">
        <f>SUM(E$5:$E220)</f>
        <v>2177</v>
      </c>
      <c r="G220" s="7">
        <f>SUM(E$158:$E220)</f>
        <v>717</v>
      </c>
    </row>
    <row r="221" spans="1:7" ht="12.75">
      <c r="A221" s="3">
        <v>217</v>
      </c>
      <c r="B221" s="6">
        <f>DATE(95,12,10)</f>
        <v>35043</v>
      </c>
      <c r="C221" s="1" t="s">
        <v>219</v>
      </c>
      <c r="D221" s="1" t="s">
        <v>232</v>
      </c>
      <c r="E221" s="3">
        <v>6</v>
      </c>
      <c r="F221" s="7">
        <f>SUM(E$5:$E221)</f>
        <v>2183</v>
      </c>
      <c r="G221" s="7">
        <f>SUM(E$158:$E221)</f>
        <v>723</v>
      </c>
    </row>
    <row r="222" spans="1:7" ht="12.75">
      <c r="A222" s="3">
        <v>218</v>
      </c>
      <c r="B222" s="6">
        <f>DATE(95,12,17)</f>
        <v>35050</v>
      </c>
      <c r="C222" s="1" t="s">
        <v>17</v>
      </c>
      <c r="D222" s="1" t="s">
        <v>178</v>
      </c>
      <c r="E222" s="3">
        <v>10</v>
      </c>
      <c r="F222" s="7">
        <f>SUM(E$5:$E222)</f>
        <v>2193</v>
      </c>
      <c r="G222" s="7">
        <f>SUM(E$158:$E222)</f>
        <v>733</v>
      </c>
    </row>
    <row r="223" spans="1:7" ht="12.75">
      <c r="A223" s="3">
        <v>219</v>
      </c>
      <c r="B223" s="6">
        <f>DATE(95,12,24)</f>
        <v>35057</v>
      </c>
      <c r="C223" s="1" t="s">
        <v>233</v>
      </c>
      <c r="D223" s="1" t="s">
        <v>234</v>
      </c>
      <c r="E223" s="3">
        <v>5</v>
      </c>
      <c r="F223" s="7">
        <f>SUM(E$5:$E223)</f>
        <v>2198</v>
      </c>
      <c r="G223" s="7">
        <f>SUM(E$158:$E223)</f>
        <v>738</v>
      </c>
    </row>
    <row r="224" spans="1:7" ht="12.75">
      <c r="A224" s="3">
        <v>220</v>
      </c>
      <c r="B224" s="6">
        <f>DATE(95,12,25)</f>
        <v>35058</v>
      </c>
      <c r="C224" s="1" t="s">
        <v>219</v>
      </c>
      <c r="D224" s="1" t="s">
        <v>235</v>
      </c>
      <c r="E224" s="3">
        <v>10</v>
      </c>
      <c r="F224" s="7">
        <f>SUM(E$5:$E224)</f>
        <v>2208</v>
      </c>
      <c r="G224" s="7">
        <f>SUM(E$158:$E224)</f>
        <v>748</v>
      </c>
    </row>
    <row r="225" spans="1:7" ht="12.75">
      <c r="A225" s="3">
        <v>221</v>
      </c>
      <c r="B225" s="6">
        <f>DATE(95,12,31)</f>
        <v>35064</v>
      </c>
      <c r="C225" s="1" t="s">
        <v>17</v>
      </c>
      <c r="D225" s="1" t="s">
        <v>236</v>
      </c>
      <c r="E225" s="3">
        <v>10</v>
      </c>
      <c r="F225" s="7">
        <f>SUM(E$5:$E225)</f>
        <v>2218</v>
      </c>
      <c r="G225" s="7">
        <f>SUM(E$158:$E225)</f>
        <v>758</v>
      </c>
    </row>
    <row r="226" spans="1:7" ht="12.75">
      <c r="A226" s="3">
        <v>222</v>
      </c>
      <c r="B226" s="6">
        <f>DATE(96,1,1)</f>
        <v>35065</v>
      </c>
      <c r="C226" s="1" t="s">
        <v>55</v>
      </c>
      <c r="D226" s="1" t="s">
        <v>176</v>
      </c>
      <c r="E226" s="3">
        <v>5</v>
      </c>
      <c r="F226" s="7">
        <f>SUM(E$5:$E226)</f>
        <v>2223</v>
      </c>
      <c r="G226" s="7">
        <f>SUM($E$226)</f>
        <v>5</v>
      </c>
    </row>
    <row r="227" spans="1:7" ht="12.75">
      <c r="A227" s="3">
        <v>223</v>
      </c>
      <c r="B227" s="6">
        <f>DATE(96,1,7)</f>
        <v>35071</v>
      </c>
      <c r="C227" s="1" t="s">
        <v>219</v>
      </c>
      <c r="D227" s="1" t="s">
        <v>18</v>
      </c>
      <c r="E227" s="3">
        <v>10</v>
      </c>
      <c r="F227" s="7">
        <f>SUM(E$5:$E227)</f>
        <v>2233</v>
      </c>
      <c r="G227" s="7">
        <f>SUM(E$226:$E227)</f>
        <v>15</v>
      </c>
    </row>
    <row r="228" spans="1:7" ht="12.75">
      <c r="A228" s="3">
        <v>224</v>
      </c>
      <c r="B228" s="6">
        <f>DATE(96,1,14)</f>
        <v>35078</v>
      </c>
      <c r="C228" s="1" t="s">
        <v>17</v>
      </c>
      <c r="D228" s="1" t="s">
        <v>237</v>
      </c>
      <c r="E228" s="3">
        <v>11</v>
      </c>
      <c r="F228" s="7">
        <f>SUM(E$5:$E228)</f>
        <v>2244</v>
      </c>
      <c r="G228" s="7">
        <f>SUM(E$226:$E228)</f>
        <v>26</v>
      </c>
    </row>
    <row r="229" spans="1:7" ht="12.75">
      <c r="A229" s="3">
        <v>225</v>
      </c>
      <c r="B229" s="6">
        <f>DATE(96,1,20)</f>
        <v>35084</v>
      </c>
      <c r="C229" s="1" t="s">
        <v>39</v>
      </c>
      <c r="D229" s="1" t="s">
        <v>238</v>
      </c>
      <c r="E229" s="3">
        <v>12</v>
      </c>
      <c r="F229" s="7">
        <f>SUM(E$5:$E229)</f>
        <v>2256</v>
      </c>
      <c r="G229" s="7">
        <f>SUM(E$226:$E229)</f>
        <v>38</v>
      </c>
    </row>
    <row r="230" spans="1:7" ht="12.75">
      <c r="A230" s="3">
        <v>226</v>
      </c>
      <c r="B230" s="6">
        <f>DATE(96,1,21)</f>
        <v>35085</v>
      </c>
      <c r="C230" s="1" t="s">
        <v>17</v>
      </c>
      <c r="D230" s="1" t="s">
        <v>45</v>
      </c>
      <c r="E230" s="3">
        <v>6</v>
      </c>
      <c r="F230" s="7">
        <f>SUM(E$5:$E230)</f>
        <v>2262</v>
      </c>
      <c r="G230" s="7">
        <f>SUM(E$226:$E230)</f>
        <v>44</v>
      </c>
    </row>
    <row r="231" spans="1:7" ht="12.75">
      <c r="A231" s="3">
        <v>227</v>
      </c>
      <c r="B231" s="6">
        <f>DATE(96,1,28)</f>
        <v>35092</v>
      </c>
      <c r="C231" s="1" t="s">
        <v>17</v>
      </c>
      <c r="D231" s="1" t="s">
        <v>16</v>
      </c>
      <c r="E231" s="3">
        <v>7</v>
      </c>
      <c r="F231" s="7">
        <f>SUM(E$5:$E231)</f>
        <v>2269</v>
      </c>
      <c r="G231" s="7">
        <f>SUM(E$226:$E231)</f>
        <v>51</v>
      </c>
    </row>
    <row r="232" spans="1:7" ht="12.75">
      <c r="A232" s="3">
        <v>228</v>
      </c>
      <c r="B232" s="6">
        <f>DATE(96,2,4)</f>
        <v>35099</v>
      </c>
      <c r="C232" s="1" t="s">
        <v>17</v>
      </c>
      <c r="D232" s="1" t="s">
        <v>239</v>
      </c>
      <c r="E232" s="3">
        <v>6</v>
      </c>
      <c r="F232" s="7">
        <f>SUM(E$5:$E232)</f>
        <v>2275</v>
      </c>
      <c r="G232" s="7">
        <f>SUM(E$226:$E232)</f>
        <v>57</v>
      </c>
    </row>
    <row r="233" spans="1:7" ht="12.75">
      <c r="A233" s="3">
        <v>229</v>
      </c>
      <c r="B233" s="6">
        <f>DATE(96,2,11)</f>
        <v>35106</v>
      </c>
      <c r="C233" s="1" t="s">
        <v>17</v>
      </c>
      <c r="D233" s="1" t="s">
        <v>240</v>
      </c>
      <c r="E233" s="3">
        <v>12</v>
      </c>
      <c r="F233" s="7">
        <f>SUM(E$5:$E233)</f>
        <v>2287</v>
      </c>
      <c r="G233" s="7">
        <f>SUM(E$226:$E233)</f>
        <v>69</v>
      </c>
    </row>
    <row r="234" spans="1:7" ht="12.75">
      <c r="A234" s="3">
        <v>230</v>
      </c>
      <c r="B234" s="6">
        <f>DATE(96,2,18)</f>
        <v>35113</v>
      </c>
      <c r="C234" s="1" t="s">
        <v>17</v>
      </c>
      <c r="D234" s="1" t="s">
        <v>241</v>
      </c>
      <c r="E234" s="3">
        <v>8</v>
      </c>
      <c r="F234" s="7">
        <f>SUM(E$5:$E234)</f>
        <v>2295</v>
      </c>
      <c r="G234" s="7">
        <f>SUM(E$226:$E234)</f>
        <v>77</v>
      </c>
    </row>
    <row r="235" spans="1:7" ht="12.75">
      <c r="A235" s="3">
        <v>231</v>
      </c>
      <c r="B235" s="6">
        <f>DATE(96,2,25)</f>
        <v>35120</v>
      </c>
      <c r="C235" s="1" t="s">
        <v>17</v>
      </c>
      <c r="D235" s="1" t="s">
        <v>242</v>
      </c>
      <c r="E235" s="3">
        <v>10</v>
      </c>
      <c r="F235" s="7">
        <f>SUM(E$5:$E235)</f>
        <v>2305</v>
      </c>
      <c r="G235" s="7">
        <f>SUM(E$226:$E235)</f>
        <v>87</v>
      </c>
    </row>
    <row r="236" spans="1:7" ht="12.75">
      <c r="A236" s="3">
        <v>232</v>
      </c>
      <c r="B236" s="6">
        <f>DATE(96,3,2)</f>
        <v>35126</v>
      </c>
      <c r="C236" s="1" t="s">
        <v>17</v>
      </c>
      <c r="D236" s="1" t="s">
        <v>243</v>
      </c>
      <c r="E236" s="3">
        <v>5</v>
      </c>
      <c r="F236" s="7">
        <f>SUM(E$5:$E236)</f>
        <v>2310</v>
      </c>
      <c r="G236" s="7">
        <f>SUM(E$226:$E236)</f>
        <v>92</v>
      </c>
    </row>
    <row r="237" spans="1:7" ht="12.75">
      <c r="A237" s="3">
        <v>233</v>
      </c>
      <c r="B237" s="6">
        <f>DATE(96,3,10)</f>
        <v>35134</v>
      </c>
      <c r="C237" s="1" t="s">
        <v>17</v>
      </c>
      <c r="D237" s="1" t="s">
        <v>196</v>
      </c>
      <c r="E237" s="3">
        <v>10</v>
      </c>
      <c r="F237" s="7">
        <f>SUM(E$5:$E237)</f>
        <v>2320</v>
      </c>
      <c r="G237" s="7">
        <f>SUM(E$226:$E237)</f>
        <v>102</v>
      </c>
    </row>
    <row r="238" spans="1:7" ht="12.75">
      <c r="A238" s="3">
        <v>234</v>
      </c>
      <c r="B238" s="6">
        <f>DATE(96,3,16)</f>
        <v>35140</v>
      </c>
      <c r="C238" s="1" t="s">
        <v>244</v>
      </c>
      <c r="D238" s="1" t="s">
        <v>245</v>
      </c>
      <c r="E238" s="3">
        <v>12</v>
      </c>
      <c r="F238" s="7">
        <f>SUM(E$5:$E238)</f>
        <v>2332</v>
      </c>
      <c r="G238" s="7">
        <f>SUM(E$226:$E238)</f>
        <v>114</v>
      </c>
    </row>
    <row r="239" spans="1:7" ht="12.75">
      <c r="A239" s="3">
        <v>235</v>
      </c>
      <c r="B239" s="6">
        <f>DATE(96,3,17)</f>
        <v>35141</v>
      </c>
      <c r="C239" s="1" t="s">
        <v>17</v>
      </c>
      <c r="D239" s="1" t="s">
        <v>37</v>
      </c>
      <c r="E239" s="3">
        <v>5</v>
      </c>
      <c r="F239" s="7">
        <f>SUM(E$5:$E239)</f>
        <v>2337</v>
      </c>
      <c r="G239" s="7">
        <f>SUM(E$226:$E239)</f>
        <v>119</v>
      </c>
    </row>
    <row r="240" spans="1:7" ht="12.75">
      <c r="A240" s="3">
        <v>236</v>
      </c>
      <c r="B240" s="6">
        <f>DATE(96,3,24)</f>
        <v>35148</v>
      </c>
      <c r="C240" s="1" t="s">
        <v>17</v>
      </c>
      <c r="D240" s="1" t="s">
        <v>246</v>
      </c>
      <c r="E240" s="3">
        <v>13</v>
      </c>
      <c r="F240" s="7">
        <f>SUM(E$5:$E240)</f>
        <v>2350</v>
      </c>
      <c r="G240" s="7">
        <f>SUM(E$226:$E240)</f>
        <v>132</v>
      </c>
    </row>
    <row r="241" spans="1:7" ht="12.75">
      <c r="A241" s="3">
        <v>237</v>
      </c>
      <c r="B241" s="6">
        <f>DATE(96,3,31)</f>
        <v>35155</v>
      </c>
      <c r="C241" s="1" t="s">
        <v>219</v>
      </c>
      <c r="D241" s="1" t="s">
        <v>61</v>
      </c>
      <c r="E241" s="3">
        <v>12</v>
      </c>
      <c r="F241" s="7">
        <f>SUM(E$5:$E241)</f>
        <v>2362</v>
      </c>
      <c r="G241" s="7">
        <f>SUM(E$226:$E241)</f>
        <v>144</v>
      </c>
    </row>
    <row r="242" spans="1:7" ht="12.75">
      <c r="A242" s="3">
        <v>238</v>
      </c>
      <c r="B242" s="6">
        <f>DATE(96,4,5)</f>
        <v>35160</v>
      </c>
      <c r="C242" s="1" t="s">
        <v>15</v>
      </c>
      <c r="D242" s="1" t="s">
        <v>117</v>
      </c>
      <c r="E242" s="3">
        <v>10</v>
      </c>
      <c r="F242" s="7">
        <f>SUM(E$5:$E242)</f>
        <v>2372</v>
      </c>
      <c r="G242" s="7">
        <f>SUM(E$226:$E242)</f>
        <v>154</v>
      </c>
    </row>
    <row r="243" spans="1:7" ht="12.75">
      <c r="A243" s="3">
        <v>239</v>
      </c>
      <c r="B243" s="6">
        <f>DATE(96,4,7)</f>
        <v>35162</v>
      </c>
      <c r="C243" s="1" t="s">
        <v>219</v>
      </c>
      <c r="D243" s="1" t="s">
        <v>247</v>
      </c>
      <c r="E243" s="3">
        <v>14</v>
      </c>
      <c r="F243" s="7">
        <f>SUM(E$5:$E243)</f>
        <v>2386</v>
      </c>
      <c r="G243" s="7">
        <f>SUM(E$226:$E243)</f>
        <v>168</v>
      </c>
    </row>
    <row r="244" spans="1:7" ht="12.75">
      <c r="A244" s="3">
        <v>240</v>
      </c>
      <c r="B244" s="6">
        <f>DATE(96,4,11)</f>
        <v>35166</v>
      </c>
      <c r="C244" s="1" t="s">
        <v>248</v>
      </c>
      <c r="D244" s="1" t="s">
        <v>249</v>
      </c>
      <c r="E244" s="3">
        <v>3</v>
      </c>
      <c r="F244" s="7">
        <f>SUM(E$5:$E244)</f>
        <v>2389</v>
      </c>
      <c r="G244" s="7">
        <f>SUM(E$226:$E244)</f>
        <v>171</v>
      </c>
    </row>
    <row r="245" spans="1:7" ht="12.75">
      <c r="A245" s="3">
        <v>241</v>
      </c>
      <c r="B245" s="6">
        <f>DATE(96,4,19)</f>
        <v>35174</v>
      </c>
      <c r="C245" s="1" t="s">
        <v>17</v>
      </c>
      <c r="D245" s="1" t="s">
        <v>250</v>
      </c>
      <c r="E245" s="3">
        <v>10</v>
      </c>
      <c r="F245" s="7">
        <f>SUM(E$5:$E245)</f>
        <v>2399</v>
      </c>
      <c r="G245" s="7">
        <f>SUM(E$226:$E245)</f>
        <v>181</v>
      </c>
    </row>
    <row r="246" spans="1:7" ht="12.75">
      <c r="A246" s="3">
        <v>242</v>
      </c>
      <c r="B246" s="6">
        <f>DATE(96,4,20)</f>
        <v>35175</v>
      </c>
      <c r="C246" s="1" t="s">
        <v>17</v>
      </c>
      <c r="D246" s="1" t="s">
        <v>94</v>
      </c>
      <c r="E246" s="3">
        <v>12</v>
      </c>
      <c r="F246" s="7">
        <f>SUM(E$5:$E246)</f>
        <v>2411</v>
      </c>
      <c r="G246" s="7">
        <f>SUM(E$226:$E246)</f>
        <v>193</v>
      </c>
    </row>
    <row r="247" spans="1:7" ht="12.75">
      <c r="A247" s="3">
        <v>243</v>
      </c>
      <c r="B247" s="6">
        <f>DATE(96,4,21)</f>
        <v>35176</v>
      </c>
      <c r="C247" s="1" t="s">
        <v>17</v>
      </c>
      <c r="D247" s="1" t="s">
        <v>251</v>
      </c>
      <c r="E247" s="3">
        <v>8</v>
      </c>
      <c r="F247" s="7">
        <f>SUM(E$5:$E247)</f>
        <v>2419</v>
      </c>
      <c r="G247" s="7">
        <f>SUM(E$226:$E247)</f>
        <v>201</v>
      </c>
    </row>
    <row r="248" spans="1:7" ht="12.75">
      <c r="A248" s="3">
        <v>244</v>
      </c>
      <c r="B248" s="6">
        <f>DATE(96,4,28)</f>
        <v>35183</v>
      </c>
      <c r="C248" s="1" t="s">
        <v>17</v>
      </c>
      <c r="D248" s="1" t="s">
        <v>46</v>
      </c>
      <c r="E248" s="3">
        <v>10</v>
      </c>
      <c r="F248" s="7">
        <f>SUM(E$5:$E248)</f>
        <v>2429</v>
      </c>
      <c r="G248" s="7">
        <f>SUM(E$226:$E248)</f>
        <v>211</v>
      </c>
    </row>
    <row r="249" spans="1:7" ht="12.75">
      <c r="A249" s="3">
        <v>245</v>
      </c>
      <c r="B249" s="6">
        <f>DATE(96,5,4)</f>
        <v>35189</v>
      </c>
      <c r="C249" s="1" t="s">
        <v>244</v>
      </c>
      <c r="D249" s="1" t="s">
        <v>367</v>
      </c>
      <c r="E249" s="3">
        <v>11</v>
      </c>
      <c r="F249" s="7">
        <f>SUM(E$5:$E249)</f>
        <v>2440</v>
      </c>
      <c r="G249" s="7">
        <f>SUM(E$226:$E249)</f>
        <v>222</v>
      </c>
    </row>
    <row r="250" spans="1:7" ht="12.75">
      <c r="A250" s="3">
        <v>246</v>
      </c>
      <c r="B250" s="6">
        <f>DATE(96,5,5)</f>
        <v>35190</v>
      </c>
      <c r="C250" s="1" t="s">
        <v>17</v>
      </c>
      <c r="D250" s="1" t="s">
        <v>252</v>
      </c>
      <c r="E250" s="3">
        <v>5</v>
      </c>
      <c r="F250" s="7">
        <f>SUM(E$5:$E250)</f>
        <v>2445</v>
      </c>
      <c r="G250" s="7">
        <f>SUM(E$226:$E250)</f>
        <v>227</v>
      </c>
    </row>
    <row r="251" spans="1:7" ht="12.75">
      <c r="A251" s="3">
        <v>247</v>
      </c>
      <c r="B251" s="6">
        <f>DATE(96,5,6)</f>
        <v>35191</v>
      </c>
      <c r="C251" s="1" t="s">
        <v>219</v>
      </c>
      <c r="D251" s="1" t="s">
        <v>111</v>
      </c>
      <c r="E251" s="3">
        <v>12</v>
      </c>
      <c r="F251" s="7">
        <f>SUM(E$5:$E251)</f>
        <v>2457</v>
      </c>
      <c r="G251" s="7">
        <f>SUM(E$226:$E251)</f>
        <v>239</v>
      </c>
    </row>
    <row r="252" spans="1:7" ht="12.75">
      <c r="A252" s="3">
        <v>248</v>
      </c>
      <c r="B252" s="6">
        <f>DATE(96,5,12)</f>
        <v>35197</v>
      </c>
      <c r="C252" s="1" t="s">
        <v>17</v>
      </c>
      <c r="D252" s="1" t="s">
        <v>253</v>
      </c>
      <c r="E252" s="3">
        <v>10</v>
      </c>
      <c r="F252" s="7">
        <f>SUM(E$5:$E252)</f>
        <v>2467</v>
      </c>
      <c r="G252" s="7">
        <f>SUM(E$226:$E252)</f>
        <v>249</v>
      </c>
    </row>
    <row r="253" spans="1:7" ht="12.75">
      <c r="A253" s="3">
        <v>249</v>
      </c>
      <c r="B253" s="6">
        <f>DATE(96,5,19)</f>
        <v>35204</v>
      </c>
      <c r="C253" s="1" t="s">
        <v>254</v>
      </c>
      <c r="D253" s="1" t="s">
        <v>255</v>
      </c>
      <c r="E253" s="3">
        <v>21</v>
      </c>
      <c r="F253" s="7">
        <f>SUM(E$5:$E253)</f>
        <v>2488</v>
      </c>
      <c r="G253" s="7">
        <f>SUM(E$226:$E253)</f>
        <v>270</v>
      </c>
    </row>
    <row r="254" spans="1:7" ht="12.75">
      <c r="A254" s="3">
        <v>250</v>
      </c>
      <c r="B254" s="6">
        <f>DATE(96,5,26)</f>
        <v>35211</v>
      </c>
      <c r="C254" s="1" t="s">
        <v>17</v>
      </c>
      <c r="D254" s="1" t="s">
        <v>256</v>
      </c>
      <c r="E254" s="3">
        <v>12</v>
      </c>
      <c r="F254" s="7">
        <f>SUM(E$5:$E254)</f>
        <v>2500</v>
      </c>
      <c r="G254" s="7">
        <f>SUM(E$226:$E254)</f>
        <v>282</v>
      </c>
    </row>
    <row r="255" spans="1:7" ht="12.75">
      <c r="A255" s="3">
        <v>251</v>
      </c>
      <c r="B255" s="6">
        <f>DATE(96,6,1)</f>
        <v>35217</v>
      </c>
      <c r="C255" s="1" t="s">
        <v>189</v>
      </c>
      <c r="D255" s="1" t="s">
        <v>257</v>
      </c>
      <c r="E255" s="3">
        <v>14</v>
      </c>
      <c r="F255" s="7">
        <f>SUM(E$5:$E255)</f>
        <v>2514</v>
      </c>
      <c r="G255" s="7">
        <f>SUM(E$226:$E255)</f>
        <v>296</v>
      </c>
    </row>
    <row r="256" spans="1:7" ht="12.75">
      <c r="A256" s="3">
        <v>252</v>
      </c>
      <c r="B256" s="6">
        <f>DATE(96,6,2)</f>
        <v>35218</v>
      </c>
      <c r="C256" s="1" t="s">
        <v>219</v>
      </c>
      <c r="D256" s="1" t="s">
        <v>258</v>
      </c>
      <c r="E256" s="3">
        <v>6</v>
      </c>
      <c r="F256" s="7">
        <f>SUM(E$5:$E256)</f>
        <v>2520</v>
      </c>
      <c r="G256" s="7">
        <f>SUM(E$226:$E256)</f>
        <v>302</v>
      </c>
    </row>
    <row r="257" spans="1:7" ht="12.75">
      <c r="A257" s="3">
        <v>253</v>
      </c>
      <c r="B257" s="6">
        <f>DATE(96,6,9)</f>
        <v>35225</v>
      </c>
      <c r="C257" s="1" t="s">
        <v>17</v>
      </c>
      <c r="D257" s="1" t="s">
        <v>259</v>
      </c>
      <c r="E257" s="3">
        <v>11</v>
      </c>
      <c r="F257" s="7">
        <f>SUM(E$5:$E257)</f>
        <v>2531</v>
      </c>
      <c r="G257" s="7">
        <f>SUM(E$226:$E257)</f>
        <v>313</v>
      </c>
    </row>
    <row r="258" spans="1:7" ht="12.75">
      <c r="A258" s="3">
        <v>254</v>
      </c>
      <c r="B258" s="6">
        <f>DATE(96,6,15)</f>
        <v>35231</v>
      </c>
      <c r="C258" s="1" t="s">
        <v>244</v>
      </c>
      <c r="D258" s="1" t="s">
        <v>260</v>
      </c>
      <c r="E258" s="3">
        <v>25</v>
      </c>
      <c r="F258" s="7">
        <f>SUM(E$5:$E258)</f>
        <v>2556</v>
      </c>
      <c r="G258" s="7">
        <f>SUM(E$226:$E258)</f>
        <v>338</v>
      </c>
    </row>
    <row r="259" spans="1:7" ht="12.75">
      <c r="A259" s="3">
        <v>255</v>
      </c>
      <c r="B259" s="6">
        <f>DATE(96,6,23)</f>
        <v>35239</v>
      </c>
      <c r="C259" s="1" t="s">
        <v>17</v>
      </c>
      <c r="D259" s="1" t="s">
        <v>261</v>
      </c>
      <c r="E259" s="3">
        <v>12</v>
      </c>
      <c r="F259" s="7">
        <f>SUM(E$5:$E259)</f>
        <v>2568</v>
      </c>
      <c r="G259" s="7">
        <f>SUM(E$226:$E259)</f>
        <v>350</v>
      </c>
    </row>
    <row r="260" spans="1:7" ht="12.75">
      <c r="A260" s="3">
        <v>256</v>
      </c>
      <c r="B260" s="6">
        <f>DATE(96,6,30)</f>
        <v>35246</v>
      </c>
      <c r="C260" s="1" t="s">
        <v>219</v>
      </c>
      <c r="D260" s="1" t="s">
        <v>262</v>
      </c>
      <c r="E260" s="3">
        <v>10</v>
      </c>
      <c r="F260" s="7">
        <f>SUM(E$5:$E260)</f>
        <v>2578</v>
      </c>
      <c r="G260" s="7">
        <f>SUM(E$226:$E260)</f>
        <v>360</v>
      </c>
    </row>
    <row r="261" spans="1:7" ht="12.75">
      <c r="A261" s="3">
        <v>257</v>
      </c>
      <c r="B261" s="6">
        <f>DATE(96,7,7)</f>
        <v>35253</v>
      </c>
      <c r="C261" s="1" t="s">
        <v>17</v>
      </c>
      <c r="D261" s="1" t="s">
        <v>263</v>
      </c>
      <c r="E261" s="3">
        <v>12</v>
      </c>
      <c r="F261" s="7">
        <f>SUM(E$5:$E261)</f>
        <v>2590</v>
      </c>
      <c r="G261" s="7">
        <f>SUM(E$226:$E261)</f>
        <v>372</v>
      </c>
    </row>
    <row r="262" spans="1:7" ht="12.75">
      <c r="A262" s="3">
        <v>258</v>
      </c>
      <c r="B262" s="6">
        <f>DATE(96,7,14)</f>
        <v>35260</v>
      </c>
      <c r="C262" s="1" t="s">
        <v>219</v>
      </c>
      <c r="D262" s="1" t="s">
        <v>264</v>
      </c>
      <c r="E262" s="3">
        <v>13</v>
      </c>
      <c r="F262" s="7">
        <f>SUM(E$5:$E262)</f>
        <v>2603</v>
      </c>
      <c r="G262" s="7">
        <f>SUM(E$226:$E262)</f>
        <v>385</v>
      </c>
    </row>
    <row r="263" spans="1:7" ht="12.75">
      <c r="A263" s="3">
        <v>259</v>
      </c>
      <c r="B263" s="6">
        <f>DATE(96,7,21)</f>
        <v>35267</v>
      </c>
      <c r="C263" s="1" t="s">
        <v>219</v>
      </c>
      <c r="D263" s="1" t="s">
        <v>265</v>
      </c>
      <c r="E263" s="3">
        <v>6</v>
      </c>
      <c r="F263" s="7">
        <f>SUM(E$5:$E263)</f>
        <v>2609</v>
      </c>
      <c r="G263" s="7">
        <f>SUM(E$226:$E263)</f>
        <v>391</v>
      </c>
    </row>
    <row r="264" spans="1:7" ht="12.75">
      <c r="A264" s="3">
        <v>260</v>
      </c>
      <c r="B264" s="6">
        <f>DATE(96,7,28)</f>
        <v>35274</v>
      </c>
      <c r="C264" s="1" t="s">
        <v>219</v>
      </c>
      <c r="D264" s="1" t="s">
        <v>266</v>
      </c>
      <c r="E264" s="3">
        <v>5</v>
      </c>
      <c r="F264" s="7">
        <f>SUM(E$5:$E264)</f>
        <v>2614</v>
      </c>
      <c r="G264" s="7">
        <f>SUM(E$226:$E264)</f>
        <v>396</v>
      </c>
    </row>
    <row r="265" spans="1:7" ht="12.75">
      <c r="A265" s="3">
        <v>261</v>
      </c>
      <c r="B265" s="6">
        <f>DATE(96,8,11)</f>
        <v>35288</v>
      </c>
      <c r="C265" s="1" t="s">
        <v>17</v>
      </c>
      <c r="D265" s="1" t="s">
        <v>267</v>
      </c>
      <c r="E265" s="3">
        <v>5</v>
      </c>
      <c r="F265" s="7">
        <f>SUM(E$5:$E265)</f>
        <v>2619</v>
      </c>
      <c r="G265" s="7">
        <f>SUM(E$226:$E265)</f>
        <v>401</v>
      </c>
    </row>
    <row r="266" spans="1:7" ht="12.75">
      <c r="A266" s="3">
        <v>262</v>
      </c>
      <c r="B266" s="6">
        <f>DATE(96,8,17)</f>
        <v>35294</v>
      </c>
      <c r="C266" s="1" t="s">
        <v>268</v>
      </c>
      <c r="D266" s="1" t="s">
        <v>269</v>
      </c>
      <c r="E266" s="3">
        <v>15</v>
      </c>
      <c r="F266" s="7">
        <f>SUM(E$5:$E266)</f>
        <v>2634</v>
      </c>
      <c r="G266" s="7">
        <f>SUM(E$226:$E266)</f>
        <v>416</v>
      </c>
    </row>
    <row r="267" spans="1:7" ht="12.75">
      <c r="A267" s="3">
        <v>263</v>
      </c>
      <c r="B267" s="6">
        <f>DATE(96,8,18)</f>
        <v>35295</v>
      </c>
      <c r="C267" s="1" t="s">
        <v>219</v>
      </c>
      <c r="D267" s="1" t="s">
        <v>270</v>
      </c>
      <c r="E267" s="3">
        <v>12</v>
      </c>
      <c r="F267" s="7">
        <f>SUM(E$5:$E267)</f>
        <v>2646</v>
      </c>
      <c r="G267" s="7">
        <f>SUM(E$226:$E267)</f>
        <v>428</v>
      </c>
    </row>
    <row r="268" spans="1:7" ht="12.75">
      <c r="A268" s="3">
        <v>264</v>
      </c>
      <c r="B268" s="6">
        <f>DATE(96,9,1)</f>
        <v>35309</v>
      </c>
      <c r="C268" s="1" t="s">
        <v>17</v>
      </c>
      <c r="D268" s="1" t="s">
        <v>271</v>
      </c>
      <c r="E268" s="3">
        <v>9</v>
      </c>
      <c r="F268" s="7">
        <f>SUM(E$5:$E268)</f>
        <v>2655</v>
      </c>
      <c r="G268" s="7">
        <f>SUM(E$226:$E268)</f>
        <v>437</v>
      </c>
    </row>
    <row r="269" spans="1:7" ht="12.75">
      <c r="A269" s="3">
        <v>265</v>
      </c>
      <c r="B269" s="6">
        <f>DATE(96,9,8)</f>
        <v>35316</v>
      </c>
      <c r="C269" s="1" t="s">
        <v>17</v>
      </c>
      <c r="D269" s="1" t="s">
        <v>37</v>
      </c>
      <c r="E269" s="3">
        <v>5</v>
      </c>
      <c r="F269" s="7">
        <f>SUM(E$5:$E269)</f>
        <v>2660</v>
      </c>
      <c r="G269" s="7">
        <f>SUM(E$226:$E269)</f>
        <v>442</v>
      </c>
    </row>
    <row r="270" spans="1:7" ht="12.75">
      <c r="A270" s="3">
        <v>266</v>
      </c>
      <c r="B270" s="6">
        <f>DATE(96,9,15)</f>
        <v>35323</v>
      </c>
      <c r="C270" s="1" t="s">
        <v>17</v>
      </c>
      <c r="D270" s="1" t="s">
        <v>272</v>
      </c>
      <c r="E270" s="3">
        <v>9</v>
      </c>
      <c r="F270" s="7">
        <f>SUM(E$5:$E270)</f>
        <v>2669</v>
      </c>
      <c r="G270" s="7">
        <f>SUM(E$226:$E270)</f>
        <v>451</v>
      </c>
    </row>
    <row r="271" spans="1:7" ht="12.75">
      <c r="A271" s="3">
        <v>267</v>
      </c>
      <c r="B271" s="6">
        <f>DATE(96,9,22)</f>
        <v>35330</v>
      </c>
      <c r="C271" s="1" t="s">
        <v>219</v>
      </c>
      <c r="D271" s="1" t="s">
        <v>273</v>
      </c>
      <c r="E271" s="3">
        <v>12</v>
      </c>
      <c r="F271" s="7">
        <f>SUM(E$5:$E271)</f>
        <v>2681</v>
      </c>
      <c r="G271" s="7">
        <f>SUM(E$226:$E271)</f>
        <v>463</v>
      </c>
    </row>
    <row r="272" spans="1:7" ht="12.75">
      <c r="A272" s="3">
        <v>268</v>
      </c>
      <c r="B272" s="6">
        <f>DATE(96,9,29)</f>
        <v>35337</v>
      </c>
      <c r="C272" s="1" t="s">
        <v>39</v>
      </c>
      <c r="D272" s="1" t="s">
        <v>274</v>
      </c>
      <c r="E272" s="3">
        <v>23</v>
      </c>
      <c r="F272" s="7">
        <f>SUM(E$5:$E272)</f>
        <v>2704</v>
      </c>
      <c r="G272" s="7">
        <f>SUM(E$226:$E272)</f>
        <v>486</v>
      </c>
    </row>
    <row r="273" spans="1:7" ht="12.75">
      <c r="A273" s="3">
        <v>269</v>
      </c>
      <c r="B273" s="6">
        <f>DATE(96,9,29)</f>
        <v>35337</v>
      </c>
      <c r="C273" s="1" t="s">
        <v>39</v>
      </c>
      <c r="D273" s="1" t="s">
        <v>273</v>
      </c>
      <c r="E273" s="3">
        <v>12</v>
      </c>
      <c r="F273" s="7">
        <f>SUM(E$5:$E273)</f>
        <v>2716</v>
      </c>
      <c r="G273" s="7">
        <f>SUM(E$226:$E273)</f>
        <v>498</v>
      </c>
    </row>
    <row r="274" spans="1:7" ht="12.75">
      <c r="A274" s="3">
        <v>270</v>
      </c>
      <c r="B274" s="6">
        <f>DATE(96,10,5)</f>
        <v>35343</v>
      </c>
      <c r="C274" s="1" t="s">
        <v>17</v>
      </c>
      <c r="D274" s="1" t="s">
        <v>275</v>
      </c>
      <c r="E274" s="3">
        <v>11</v>
      </c>
      <c r="F274" s="7">
        <f>SUM(E$5:$E274)</f>
        <v>2727</v>
      </c>
      <c r="G274" s="7">
        <f>SUM(E$226:$E274)</f>
        <v>509</v>
      </c>
    </row>
    <row r="275" spans="1:7" ht="12.75">
      <c r="A275" s="3">
        <v>271</v>
      </c>
      <c r="B275" s="6">
        <f>DATE(96,10,6)</f>
        <v>35344</v>
      </c>
      <c r="C275" s="1" t="s">
        <v>17</v>
      </c>
      <c r="D275" s="1" t="s">
        <v>276</v>
      </c>
      <c r="E275" s="3">
        <v>11</v>
      </c>
      <c r="F275" s="7">
        <f>SUM(E$5:$E275)</f>
        <v>2738</v>
      </c>
      <c r="G275" s="7">
        <f>SUM(E$226:$E275)</f>
        <v>520</v>
      </c>
    </row>
    <row r="276" spans="1:7" ht="12.75">
      <c r="A276" s="3">
        <v>272</v>
      </c>
      <c r="B276" s="6">
        <f>DATE(96,10,13)</f>
        <v>35351</v>
      </c>
      <c r="C276" s="1" t="s">
        <v>17</v>
      </c>
      <c r="D276" s="1" t="s">
        <v>277</v>
      </c>
      <c r="E276" s="3">
        <v>8</v>
      </c>
      <c r="F276" s="7">
        <f>SUM(E$5:$E276)</f>
        <v>2746</v>
      </c>
      <c r="G276" s="7">
        <f>SUM(E$226:$E276)</f>
        <v>528</v>
      </c>
    </row>
    <row r="277" spans="1:7" ht="12.75">
      <c r="A277" s="3">
        <v>273</v>
      </c>
      <c r="B277" s="6">
        <f>DATE(96,10,20)</f>
        <v>35358</v>
      </c>
      <c r="C277" s="1" t="s">
        <v>219</v>
      </c>
      <c r="D277" s="1" t="s">
        <v>97</v>
      </c>
      <c r="E277" s="3">
        <v>8</v>
      </c>
      <c r="F277" s="7">
        <f>SUM(E$5:$E277)</f>
        <v>2754</v>
      </c>
      <c r="G277" s="7">
        <f>SUM(E$226:$E277)</f>
        <v>536</v>
      </c>
    </row>
    <row r="278" spans="1:7" ht="12.75">
      <c r="A278" s="3">
        <v>274</v>
      </c>
      <c r="B278" s="6">
        <f>DATE(96,10,26)</f>
        <v>35364</v>
      </c>
      <c r="C278" s="1" t="s">
        <v>132</v>
      </c>
      <c r="D278" s="1" t="s">
        <v>148</v>
      </c>
      <c r="E278" s="3">
        <v>5</v>
      </c>
      <c r="F278" s="7">
        <f>SUM(E$5:$E278)</f>
        <v>2759</v>
      </c>
      <c r="G278" s="7">
        <f>SUM(E$226:$E278)</f>
        <v>541</v>
      </c>
    </row>
    <row r="279" spans="1:7" ht="12.75">
      <c r="A279" s="3">
        <v>275</v>
      </c>
      <c r="B279" s="6">
        <f>DATE(96,11,3)</f>
        <v>35372</v>
      </c>
      <c r="C279" s="1" t="s">
        <v>278</v>
      </c>
      <c r="D279" s="1" t="s">
        <v>279</v>
      </c>
      <c r="E279" s="3">
        <v>5</v>
      </c>
      <c r="F279" s="7">
        <f>SUM(E$5:$E279)</f>
        <v>2764</v>
      </c>
      <c r="G279" s="7">
        <f>SUM(E$226:$E279)</f>
        <v>546</v>
      </c>
    </row>
    <row r="280" spans="1:7" ht="12.75">
      <c r="A280" s="3">
        <v>276</v>
      </c>
      <c r="B280" s="6">
        <f>DATE(96,11,10)</f>
        <v>35379</v>
      </c>
      <c r="C280" s="1" t="s">
        <v>17</v>
      </c>
      <c r="D280" s="1" t="s">
        <v>280</v>
      </c>
      <c r="E280" s="3">
        <v>11</v>
      </c>
      <c r="F280" s="7">
        <f>SUM(E$5:$E280)</f>
        <v>2775</v>
      </c>
      <c r="G280" s="7">
        <f>SUM(E$226:$E280)</f>
        <v>557</v>
      </c>
    </row>
    <row r="281" spans="1:7" ht="12.75">
      <c r="A281" s="3">
        <v>277</v>
      </c>
      <c r="B281" s="6">
        <f>DATE(96,11,21)</f>
        <v>35390</v>
      </c>
      <c r="C281" s="1" t="s">
        <v>116</v>
      </c>
      <c r="D281" s="1" t="s">
        <v>111</v>
      </c>
      <c r="E281" s="3">
        <v>12</v>
      </c>
      <c r="F281" s="7">
        <f>SUM(E$5:$E281)</f>
        <v>2787</v>
      </c>
      <c r="G281" s="7">
        <f>SUM(E$226:$E281)</f>
        <v>569</v>
      </c>
    </row>
    <row r="282" spans="1:7" ht="12.75">
      <c r="A282" s="3">
        <v>278</v>
      </c>
      <c r="B282" s="6">
        <f>DATE(96,11,22)</f>
        <v>35391</v>
      </c>
      <c r="C282" s="1" t="s">
        <v>17</v>
      </c>
      <c r="D282" s="1" t="s">
        <v>281</v>
      </c>
      <c r="E282" s="3">
        <v>12</v>
      </c>
      <c r="F282" s="7">
        <f>SUM(E$5:$E282)</f>
        <v>2799</v>
      </c>
      <c r="G282" s="7">
        <f>SUM(E$226:$E282)</f>
        <v>581</v>
      </c>
    </row>
    <row r="283" spans="1:7" ht="12.75">
      <c r="A283" s="3">
        <v>279</v>
      </c>
      <c r="B283" s="6">
        <f>DATE(96,12,8)</f>
        <v>35407</v>
      </c>
      <c r="C283" s="1" t="s">
        <v>219</v>
      </c>
      <c r="D283" s="1" t="s">
        <v>282</v>
      </c>
      <c r="E283" s="3">
        <v>10</v>
      </c>
      <c r="F283" s="7">
        <f>SUM(E$5:$E283)</f>
        <v>2809</v>
      </c>
      <c r="G283" s="7">
        <f>SUM(E$226:$E283)</f>
        <v>591</v>
      </c>
    </row>
    <row r="284" spans="1:7" ht="12.75">
      <c r="A284" s="3">
        <v>280</v>
      </c>
      <c r="B284" s="6">
        <f>DATE(96,12,15)</f>
        <v>35414</v>
      </c>
      <c r="C284" s="1" t="s">
        <v>17</v>
      </c>
      <c r="D284" s="1" t="s">
        <v>243</v>
      </c>
      <c r="E284" s="3">
        <v>5</v>
      </c>
      <c r="F284" s="7">
        <f>SUM(E$5:$E284)</f>
        <v>2814</v>
      </c>
      <c r="G284" s="7">
        <f>SUM(E$226:$E284)</f>
        <v>596</v>
      </c>
    </row>
    <row r="285" spans="1:7" ht="12.75">
      <c r="A285" s="3">
        <v>281</v>
      </c>
      <c r="B285" s="6">
        <f>DATE(96,12,22)</f>
        <v>35421</v>
      </c>
      <c r="C285" s="1" t="s">
        <v>17</v>
      </c>
      <c r="D285" s="1" t="s">
        <v>283</v>
      </c>
      <c r="E285" s="3">
        <v>10</v>
      </c>
      <c r="F285" s="7">
        <f>SUM(E$5:$E285)</f>
        <v>2824</v>
      </c>
      <c r="G285" s="7">
        <f>SUM(E$226:$E285)</f>
        <v>606</v>
      </c>
    </row>
    <row r="286" spans="1:7" ht="12.75">
      <c r="A286" s="3">
        <v>282</v>
      </c>
      <c r="B286" s="6">
        <f>DATE(96,12,29)</f>
        <v>35428</v>
      </c>
      <c r="C286" s="1" t="s">
        <v>17</v>
      </c>
      <c r="D286" s="1" t="s">
        <v>284</v>
      </c>
      <c r="E286" s="3">
        <v>13</v>
      </c>
      <c r="F286" s="7">
        <f>SUM(E$5:$E286)</f>
        <v>2837</v>
      </c>
      <c r="G286" s="7">
        <f>SUM(E$226:$E286)</f>
        <v>619</v>
      </c>
    </row>
    <row r="287" spans="1:7" ht="12.75">
      <c r="A287" s="3">
        <v>283</v>
      </c>
      <c r="B287" s="6">
        <f>DATE(96,12,31)</f>
        <v>35430</v>
      </c>
      <c r="C287" s="1" t="s">
        <v>39</v>
      </c>
      <c r="D287" s="1" t="s">
        <v>285</v>
      </c>
      <c r="E287" s="3">
        <v>12</v>
      </c>
      <c r="F287" s="7">
        <f>SUM(E$5:$E287)</f>
        <v>2849</v>
      </c>
      <c r="G287" s="7">
        <f>SUM(E$226:$E287)</f>
        <v>631</v>
      </c>
    </row>
    <row r="288" spans="1:7" ht="12.75">
      <c r="A288" s="3">
        <v>285</v>
      </c>
      <c r="B288" s="6">
        <f>DATE(97,1,5)</f>
        <v>35435</v>
      </c>
      <c r="C288" s="1" t="s">
        <v>17</v>
      </c>
      <c r="D288" s="1" t="s">
        <v>107</v>
      </c>
      <c r="E288" s="3">
        <v>12</v>
      </c>
      <c r="F288" s="7">
        <f>SUM(E$5:$E288)</f>
        <v>2861</v>
      </c>
      <c r="G288" s="7">
        <f>SUM($E$288)</f>
        <v>12</v>
      </c>
    </row>
    <row r="289" spans="1:7" ht="12.75">
      <c r="A289" s="3">
        <v>286</v>
      </c>
      <c r="B289" s="6">
        <f>DATE(97,1,18)</f>
        <v>35448</v>
      </c>
      <c r="C289" s="1" t="s">
        <v>286</v>
      </c>
      <c r="D289" s="1" t="s">
        <v>287</v>
      </c>
      <c r="E289" s="3">
        <v>8</v>
      </c>
      <c r="F289" s="7">
        <f>SUM(E$5:$E289)</f>
        <v>2869</v>
      </c>
      <c r="G289" s="7">
        <f>SUM(E$288:$E289)</f>
        <v>20</v>
      </c>
    </row>
    <row r="290" spans="1:7" ht="12.75">
      <c r="A290" s="3">
        <v>287</v>
      </c>
      <c r="B290" s="6">
        <f>DATE(97,1,19)</f>
        <v>35449</v>
      </c>
      <c r="C290" s="1" t="s">
        <v>17</v>
      </c>
      <c r="D290" s="1" t="s">
        <v>288</v>
      </c>
      <c r="E290" s="3">
        <v>11</v>
      </c>
      <c r="F290" s="7">
        <f>SUM(E$5:$E290)</f>
        <v>2880</v>
      </c>
      <c r="G290" s="7">
        <f>SUM(E$288:$E290)</f>
        <v>31</v>
      </c>
    </row>
    <row r="291" spans="1:7" ht="12.75">
      <c r="A291" s="3">
        <v>288</v>
      </c>
      <c r="B291" s="6">
        <f>DATE(97,1,26)</f>
        <v>35456</v>
      </c>
      <c r="C291" s="1" t="s">
        <v>219</v>
      </c>
      <c r="D291" s="1" t="s">
        <v>289</v>
      </c>
      <c r="E291" s="3">
        <v>9</v>
      </c>
      <c r="F291" s="7">
        <f>SUM(E$5:$E291)</f>
        <v>2889</v>
      </c>
      <c r="G291" s="7">
        <f>SUM(E$288:$E291)</f>
        <v>40</v>
      </c>
    </row>
    <row r="292" spans="1:7" ht="12.75">
      <c r="A292" s="3">
        <v>289</v>
      </c>
      <c r="B292" s="6">
        <f>DATE(97,2,2)</f>
        <v>35463</v>
      </c>
      <c r="C292" s="1" t="s">
        <v>17</v>
      </c>
      <c r="D292" s="1" t="s">
        <v>61</v>
      </c>
      <c r="E292" s="3">
        <v>9</v>
      </c>
      <c r="F292" s="7">
        <f>SUM(E$5:$E292)</f>
        <v>2898</v>
      </c>
      <c r="G292" s="7">
        <f>SUM(E$288:$E292)</f>
        <v>49</v>
      </c>
    </row>
    <row r="293" spans="1:7" ht="12.75">
      <c r="A293" s="3">
        <v>290</v>
      </c>
      <c r="B293" s="6">
        <f>DATE(97,2,8)</f>
        <v>35469</v>
      </c>
      <c r="C293" s="1" t="s">
        <v>290</v>
      </c>
      <c r="D293" s="1" t="s">
        <v>291</v>
      </c>
      <c r="E293" s="3">
        <v>15</v>
      </c>
      <c r="F293" s="7">
        <f>SUM(E$5:$E293)</f>
        <v>2913</v>
      </c>
      <c r="G293" s="7">
        <f>SUM(E$288:$E293)</f>
        <v>64</v>
      </c>
    </row>
    <row r="294" spans="1:7" ht="12.75">
      <c r="A294" s="3">
        <v>291</v>
      </c>
      <c r="B294" s="6">
        <f>DATE(97,2,9)</f>
        <v>35470</v>
      </c>
      <c r="C294" s="1" t="s">
        <v>17</v>
      </c>
      <c r="D294" s="1" t="s">
        <v>292</v>
      </c>
      <c r="E294" s="3">
        <v>5</v>
      </c>
      <c r="F294" s="7">
        <f>SUM(E$5:$E294)</f>
        <v>2918</v>
      </c>
      <c r="G294" s="7">
        <f>SUM(E$288:$E294)</f>
        <v>69</v>
      </c>
    </row>
    <row r="295" spans="1:7" ht="12.75">
      <c r="A295" s="3">
        <v>292</v>
      </c>
      <c r="B295" s="6">
        <f>DATE(97,2,15)</f>
        <v>35476</v>
      </c>
      <c r="C295" s="1" t="s">
        <v>219</v>
      </c>
      <c r="D295" s="1" t="s">
        <v>293</v>
      </c>
      <c r="E295" s="3">
        <v>11</v>
      </c>
      <c r="F295" s="7">
        <f>SUM(E$5:$E295)</f>
        <v>2929</v>
      </c>
      <c r="G295" s="7">
        <f>SUM(E$288:$E295)</f>
        <v>80</v>
      </c>
    </row>
    <row r="296" spans="1:7" ht="12.75">
      <c r="A296" s="3">
        <v>293</v>
      </c>
      <c r="B296" s="6">
        <f>DATE(97,2,18)</f>
        <v>35479</v>
      </c>
      <c r="C296" s="1" t="s">
        <v>219</v>
      </c>
      <c r="D296" s="1" t="s">
        <v>16</v>
      </c>
      <c r="E296" s="3">
        <v>6</v>
      </c>
      <c r="F296" s="7">
        <f>SUM(E$5:$E296)</f>
        <v>2935</v>
      </c>
      <c r="G296" s="7">
        <f>SUM(E$288:$E296)</f>
        <v>86</v>
      </c>
    </row>
    <row r="297" spans="1:7" ht="12.75">
      <c r="A297" s="3">
        <v>294</v>
      </c>
      <c r="B297" s="6">
        <f>DATE(97,2,23)</f>
        <v>35484</v>
      </c>
      <c r="C297" s="1" t="s">
        <v>17</v>
      </c>
      <c r="D297" s="1" t="s">
        <v>294</v>
      </c>
      <c r="E297" s="3">
        <v>10</v>
      </c>
      <c r="F297" s="7">
        <f>SUM(E$5:$E297)</f>
        <v>2945</v>
      </c>
      <c r="G297" s="7">
        <f>SUM(E$288:$E297)</f>
        <v>96</v>
      </c>
    </row>
    <row r="298" spans="1:7" ht="12.75">
      <c r="A298" s="3">
        <v>295</v>
      </c>
      <c r="B298" s="6">
        <f>DATE(97,3,1)</f>
        <v>35490</v>
      </c>
      <c r="C298" s="1" t="s">
        <v>110</v>
      </c>
      <c r="D298" s="1" t="s">
        <v>295</v>
      </c>
      <c r="E298" s="3">
        <v>17</v>
      </c>
      <c r="F298" s="7">
        <f>SUM(E$5:$E298)</f>
        <v>2962</v>
      </c>
      <c r="G298" s="7">
        <f>SUM(E$288:$E298)</f>
        <v>113</v>
      </c>
    </row>
    <row r="299" spans="1:7" ht="12.75">
      <c r="A299" s="3">
        <v>296</v>
      </c>
      <c r="B299" s="6">
        <f>DATE(97,3,2)</f>
        <v>35491</v>
      </c>
      <c r="C299" s="1" t="s">
        <v>17</v>
      </c>
      <c r="D299" s="1" t="s">
        <v>296</v>
      </c>
      <c r="E299" s="3">
        <v>10</v>
      </c>
      <c r="F299" s="7">
        <f>SUM(E$5:$E299)</f>
        <v>2972</v>
      </c>
      <c r="G299" s="7">
        <f>SUM(E$288:$E299)</f>
        <v>123</v>
      </c>
    </row>
    <row r="300" spans="1:7" ht="12.75">
      <c r="A300" s="3">
        <v>297</v>
      </c>
      <c r="B300" s="6">
        <f>DATE(97,3,8)</f>
        <v>35497</v>
      </c>
      <c r="C300" s="1" t="s">
        <v>116</v>
      </c>
      <c r="D300" s="1" t="s">
        <v>297</v>
      </c>
      <c r="E300" s="3">
        <v>12</v>
      </c>
      <c r="F300" s="7">
        <f>SUM(E$5:$E300)</f>
        <v>2984</v>
      </c>
      <c r="G300" s="7">
        <f>SUM(E$288:$E300)</f>
        <v>135</v>
      </c>
    </row>
    <row r="301" spans="1:7" ht="12.75">
      <c r="A301" s="3">
        <v>298</v>
      </c>
      <c r="B301" s="6">
        <f>DATE(97,3,9)</f>
        <v>35498</v>
      </c>
      <c r="C301" s="1" t="s">
        <v>219</v>
      </c>
      <c r="D301" s="1" t="s">
        <v>45</v>
      </c>
      <c r="E301" s="3">
        <v>8</v>
      </c>
      <c r="F301" s="7">
        <f>SUM(E$5:$E301)</f>
        <v>2992</v>
      </c>
      <c r="G301" s="7">
        <f>SUM(E$288:$E301)</f>
        <v>143</v>
      </c>
    </row>
    <row r="302" spans="1:7" ht="12.75">
      <c r="A302" s="3">
        <v>299</v>
      </c>
      <c r="B302" s="6">
        <f>DATE(97,3,16)</f>
        <v>35505</v>
      </c>
      <c r="C302" s="1" t="s">
        <v>17</v>
      </c>
      <c r="D302" s="1" t="s">
        <v>298</v>
      </c>
      <c r="E302" s="3">
        <v>13</v>
      </c>
      <c r="F302" s="7">
        <f>SUM(E$5:$E302)</f>
        <v>3005</v>
      </c>
      <c r="G302" s="7">
        <f>SUM(E$288:$E302)</f>
        <v>156</v>
      </c>
    </row>
    <row r="303" spans="1:7" ht="12.75">
      <c r="A303" s="3">
        <v>300</v>
      </c>
      <c r="B303" s="6">
        <f>DATE(97,3,23)</f>
        <v>35512</v>
      </c>
      <c r="C303" s="1" t="s">
        <v>17</v>
      </c>
      <c r="D303" s="1" t="s">
        <v>299</v>
      </c>
      <c r="E303" s="3">
        <v>5</v>
      </c>
      <c r="F303" s="7">
        <f>SUM(E$5:$E303)</f>
        <v>3010</v>
      </c>
      <c r="G303" s="7">
        <f>SUM(E$288:$E303)</f>
        <v>161</v>
      </c>
    </row>
    <row r="304" spans="1:7" ht="12.75">
      <c r="A304" s="3">
        <v>301</v>
      </c>
      <c r="B304" s="6">
        <f>DATE(97,3,28)</f>
        <v>35517</v>
      </c>
      <c r="C304" s="1" t="s">
        <v>300</v>
      </c>
      <c r="D304" s="1" t="s">
        <v>301</v>
      </c>
      <c r="E304" s="3">
        <v>10</v>
      </c>
      <c r="F304" s="7">
        <f>SUM(E$5:$E304)</f>
        <v>3020</v>
      </c>
      <c r="G304" s="7">
        <f>SUM(E$288:$E304)</f>
        <v>171</v>
      </c>
    </row>
    <row r="305" spans="1:7" ht="12.75">
      <c r="A305" s="3">
        <v>302</v>
      </c>
      <c r="B305" s="6">
        <f>DATE(97,3,30)</f>
        <v>35519</v>
      </c>
      <c r="C305" s="1" t="s">
        <v>17</v>
      </c>
      <c r="D305" s="1" t="s">
        <v>302</v>
      </c>
      <c r="E305" s="3">
        <v>10</v>
      </c>
      <c r="F305" s="7">
        <f>SUM(E$5:$E305)</f>
        <v>3030</v>
      </c>
      <c r="G305" s="7">
        <f>SUM(E$288:$E305)</f>
        <v>181</v>
      </c>
    </row>
    <row r="306" spans="1:7" ht="12.75">
      <c r="A306" s="3">
        <v>303</v>
      </c>
      <c r="B306" s="6">
        <f>DATE(97,3,31)</f>
        <v>35520</v>
      </c>
      <c r="C306" s="1" t="s">
        <v>219</v>
      </c>
      <c r="D306" s="1" t="s">
        <v>303</v>
      </c>
      <c r="E306" s="3">
        <v>11</v>
      </c>
      <c r="F306" s="7">
        <f>SUM(E$5:$E306)</f>
        <v>3041</v>
      </c>
      <c r="G306" s="7">
        <f>SUM(E$288:$E306)</f>
        <v>192</v>
      </c>
    </row>
    <row r="307" spans="1:7" ht="12.75">
      <c r="A307" s="3">
        <v>304</v>
      </c>
      <c r="B307" s="6">
        <f>DATE(97,4,6)</f>
        <v>35526</v>
      </c>
      <c r="C307" s="1" t="s">
        <v>219</v>
      </c>
      <c r="D307" s="1" t="s">
        <v>304</v>
      </c>
      <c r="E307" s="3">
        <v>13</v>
      </c>
      <c r="F307" s="7">
        <f>SUM(E$5:$E307)</f>
        <v>3054</v>
      </c>
      <c r="G307" s="7">
        <f>SUM(E$288:$E307)</f>
        <v>205</v>
      </c>
    </row>
    <row r="308" spans="1:7" ht="12.75">
      <c r="A308" s="3">
        <v>305</v>
      </c>
      <c r="B308" s="6">
        <f>DATE(97,4,11)</f>
        <v>35531</v>
      </c>
      <c r="C308" s="1" t="s">
        <v>421</v>
      </c>
      <c r="D308" s="1" t="s">
        <v>305</v>
      </c>
      <c r="E308" s="3">
        <v>8</v>
      </c>
      <c r="F308" s="7">
        <f>SUM(E$5:$E308)</f>
        <v>3062</v>
      </c>
      <c r="G308" s="7">
        <f>SUM(E$288:$E308)</f>
        <v>213</v>
      </c>
    </row>
    <row r="309" spans="1:7" ht="12.75">
      <c r="A309" s="3">
        <v>306</v>
      </c>
      <c r="B309" s="6">
        <f>DATE(97,4,12)</f>
        <v>35532</v>
      </c>
      <c r="C309" s="1" t="s">
        <v>306</v>
      </c>
      <c r="D309" s="1" t="s">
        <v>307</v>
      </c>
      <c r="E309" s="3">
        <v>12</v>
      </c>
      <c r="F309" s="7">
        <f>SUM(E$5:$E309)</f>
        <v>3074</v>
      </c>
      <c r="G309" s="7">
        <f>SUM(E$288:$E309)</f>
        <v>225</v>
      </c>
    </row>
    <row r="310" spans="1:7" ht="12.75">
      <c r="A310" s="3">
        <v>307</v>
      </c>
      <c r="B310" s="6">
        <f>DATE(97,4,13)</f>
        <v>35533</v>
      </c>
      <c r="C310" s="1" t="s">
        <v>306</v>
      </c>
      <c r="D310" s="1" t="s">
        <v>308</v>
      </c>
      <c r="E310" s="3">
        <v>9</v>
      </c>
      <c r="F310" s="7">
        <f>SUM(E$5:$E310)</f>
        <v>3083</v>
      </c>
      <c r="G310" s="7">
        <f>SUM(E$288:$E310)</f>
        <v>234</v>
      </c>
    </row>
    <row r="311" spans="1:7" ht="12.75">
      <c r="A311" s="3">
        <v>308</v>
      </c>
      <c r="B311" s="6">
        <f>DATE(97,4,19)</f>
        <v>35539</v>
      </c>
      <c r="C311" s="1" t="s">
        <v>39</v>
      </c>
      <c r="D311" s="1" t="s">
        <v>309</v>
      </c>
      <c r="E311" s="3">
        <v>16</v>
      </c>
      <c r="F311" s="7">
        <f>SUM(E$5:$E311)</f>
        <v>3099</v>
      </c>
      <c r="G311" s="7">
        <f>SUM(E$288:$E311)</f>
        <v>250</v>
      </c>
    </row>
    <row r="312" spans="1:7" ht="12.75">
      <c r="A312" s="3">
        <v>309</v>
      </c>
      <c r="B312" s="6">
        <f>DATE(97,4,20)</f>
        <v>35540</v>
      </c>
      <c r="C312" s="1" t="s">
        <v>17</v>
      </c>
      <c r="D312" s="1" t="s">
        <v>310</v>
      </c>
      <c r="E312" s="3">
        <v>6</v>
      </c>
      <c r="F312" s="7">
        <f>SUM(E$5:$E312)</f>
        <v>3105</v>
      </c>
      <c r="G312" s="7">
        <f>SUM(E$288:$E312)</f>
        <v>256</v>
      </c>
    </row>
    <row r="313" spans="1:7" ht="12.75">
      <c r="A313" s="3">
        <v>310</v>
      </c>
      <c r="B313" s="6">
        <f>DATE(97,4,27)</f>
        <v>35547</v>
      </c>
      <c r="C313" s="1" t="s">
        <v>17</v>
      </c>
      <c r="D313" s="1" t="s">
        <v>311</v>
      </c>
      <c r="E313" s="3">
        <v>10</v>
      </c>
      <c r="F313" s="7">
        <f>SUM(E$5:$E313)</f>
        <v>3115</v>
      </c>
      <c r="G313" s="7">
        <f>SUM(E$288:$E313)</f>
        <v>266</v>
      </c>
    </row>
    <row r="314" spans="1:7" ht="12.75">
      <c r="A314" s="3">
        <v>311</v>
      </c>
      <c r="B314" s="6">
        <f>DATE(97,5,4)</f>
        <v>35554</v>
      </c>
      <c r="C314" s="1" t="s">
        <v>219</v>
      </c>
      <c r="D314" s="1" t="s">
        <v>91</v>
      </c>
      <c r="E314" s="3">
        <v>12</v>
      </c>
      <c r="F314" s="7">
        <f>SUM(E$5:$E314)</f>
        <v>3127</v>
      </c>
      <c r="G314" s="7">
        <f>SUM(E$288:$E314)</f>
        <v>278</v>
      </c>
    </row>
    <row r="315" spans="1:7" ht="12.75">
      <c r="A315" s="3">
        <v>312</v>
      </c>
      <c r="B315" s="6">
        <f>DATE(97,5,11)</f>
        <v>35561</v>
      </c>
      <c r="C315" s="1" t="s">
        <v>219</v>
      </c>
      <c r="D315" s="1" t="s">
        <v>89</v>
      </c>
      <c r="E315" s="3">
        <v>5</v>
      </c>
      <c r="F315" s="7">
        <f>SUM(E$5:$E315)</f>
        <v>3132</v>
      </c>
      <c r="G315" s="7">
        <f>SUM(E$288:$E315)</f>
        <v>283</v>
      </c>
    </row>
    <row r="316" spans="1:7" ht="12.75">
      <c r="A316" s="3">
        <v>313</v>
      </c>
      <c r="B316" s="6">
        <f>DATE(97,5,17)</f>
        <v>35567</v>
      </c>
      <c r="C316" s="1" t="s">
        <v>219</v>
      </c>
      <c r="D316" s="1" t="s">
        <v>312</v>
      </c>
      <c r="E316" s="3">
        <v>14</v>
      </c>
      <c r="F316" s="7">
        <f>SUM(E$5:$E316)</f>
        <v>3146</v>
      </c>
      <c r="G316" s="7">
        <f>SUM(E$288:$E316)</f>
        <v>297</v>
      </c>
    </row>
    <row r="317" spans="1:7" ht="12.75">
      <c r="A317" s="3">
        <v>314</v>
      </c>
      <c r="B317" s="6">
        <f>DATE(97,5,25)</f>
        <v>35575</v>
      </c>
      <c r="C317" s="1" t="s">
        <v>17</v>
      </c>
      <c r="D317" s="1" t="s">
        <v>313</v>
      </c>
      <c r="E317" s="3">
        <v>11</v>
      </c>
      <c r="F317" s="7">
        <f>SUM(E$5:$E317)</f>
        <v>3157</v>
      </c>
      <c r="G317" s="7">
        <f>SUM(E$288:$E317)</f>
        <v>308</v>
      </c>
    </row>
    <row r="318" spans="1:7" ht="12.75">
      <c r="A318" s="3">
        <v>315</v>
      </c>
      <c r="B318" s="6">
        <f>DATE(97,5,27)</f>
        <v>35577</v>
      </c>
      <c r="C318" s="1" t="s">
        <v>314</v>
      </c>
      <c r="D318" s="1" t="s">
        <v>315</v>
      </c>
      <c r="E318" s="3">
        <v>15</v>
      </c>
      <c r="F318" s="7">
        <f>SUM(E$5:$E318)</f>
        <v>3172</v>
      </c>
      <c r="G318" s="7">
        <f>SUM(E$288:$E318)</f>
        <v>323</v>
      </c>
    </row>
    <row r="319" spans="1:7" ht="12.75">
      <c r="A319" s="3">
        <v>316</v>
      </c>
      <c r="B319" s="6">
        <f>DATE(97,6,1)</f>
        <v>35582</v>
      </c>
      <c r="C319" s="1" t="s">
        <v>17</v>
      </c>
      <c r="D319" s="1" t="s">
        <v>316</v>
      </c>
      <c r="E319" s="3">
        <v>5</v>
      </c>
      <c r="F319" s="7">
        <f>SUM(E$5:$E319)</f>
        <v>3177</v>
      </c>
      <c r="G319" s="7">
        <f>SUM(E$288:$E319)</f>
        <v>328</v>
      </c>
    </row>
    <row r="320" spans="1:7" ht="12.75">
      <c r="A320" s="3">
        <v>317</v>
      </c>
      <c r="B320" s="6">
        <f>DATE(97,6,7)</f>
        <v>35588</v>
      </c>
      <c r="C320" s="1" t="s">
        <v>39</v>
      </c>
      <c r="D320" s="1" t="s">
        <v>317</v>
      </c>
      <c r="E320" s="3">
        <v>15</v>
      </c>
      <c r="F320" s="7">
        <f>SUM(E$5:$E320)</f>
        <v>3192</v>
      </c>
      <c r="G320" s="7">
        <f>SUM(E$288:$E320)</f>
        <v>343</v>
      </c>
    </row>
    <row r="321" spans="1:7" ht="12.75">
      <c r="A321" s="3">
        <v>318</v>
      </c>
      <c r="B321" s="6">
        <f>DATE(97,6,8)</f>
        <v>35589</v>
      </c>
      <c r="C321" s="1" t="s">
        <v>17</v>
      </c>
      <c r="D321" s="1" t="s">
        <v>318</v>
      </c>
      <c r="E321" s="3">
        <v>11</v>
      </c>
      <c r="F321" s="7">
        <f>SUM(E$5:$E321)</f>
        <v>3203</v>
      </c>
      <c r="G321" s="7">
        <f>SUM(E$288:$E321)</f>
        <v>354</v>
      </c>
    </row>
    <row r="322" spans="1:7" ht="12.75">
      <c r="A322" s="3">
        <v>319</v>
      </c>
      <c r="B322" s="6">
        <f>DATE(97,6,14)</f>
        <v>35595</v>
      </c>
      <c r="C322" s="1" t="s">
        <v>116</v>
      </c>
      <c r="D322" s="1" t="s">
        <v>319</v>
      </c>
      <c r="E322" s="3">
        <v>13</v>
      </c>
      <c r="F322" s="7">
        <f>SUM(E$5:$E322)</f>
        <v>3216</v>
      </c>
      <c r="G322" s="7">
        <f>SUM(E$288:$E322)</f>
        <v>367</v>
      </c>
    </row>
    <row r="323" spans="1:7" ht="12.75">
      <c r="A323" s="3">
        <v>320</v>
      </c>
      <c r="B323" s="6">
        <f>DATE(97,6,15)</f>
        <v>35596</v>
      </c>
      <c r="C323" s="1" t="s">
        <v>17</v>
      </c>
      <c r="D323" s="1" t="s">
        <v>320</v>
      </c>
      <c r="E323" s="3">
        <v>11</v>
      </c>
      <c r="F323" s="7">
        <f>SUM(E$5:$E323)</f>
        <v>3227</v>
      </c>
      <c r="G323" s="7">
        <f>SUM(E$288:$E323)</f>
        <v>378</v>
      </c>
    </row>
    <row r="324" spans="1:7" ht="12.75">
      <c r="A324" s="3">
        <v>321</v>
      </c>
      <c r="B324" s="6">
        <f>DATE(97,6,22)</f>
        <v>35603</v>
      </c>
      <c r="C324" s="1" t="s">
        <v>39</v>
      </c>
      <c r="D324" s="1" t="s">
        <v>321</v>
      </c>
      <c r="E324" s="3">
        <v>17</v>
      </c>
      <c r="F324" s="7">
        <f>SUM(E$5:$E324)</f>
        <v>3244</v>
      </c>
      <c r="G324" s="7">
        <f>SUM(E$288:$E324)</f>
        <v>395</v>
      </c>
    </row>
    <row r="325" spans="1:7" ht="12.75">
      <c r="A325" s="3">
        <v>322</v>
      </c>
      <c r="B325" s="6">
        <f>DATE(97,6,29)</f>
        <v>35610</v>
      </c>
      <c r="C325" s="1" t="s">
        <v>17</v>
      </c>
      <c r="D325" s="1" t="s">
        <v>270</v>
      </c>
      <c r="E325" s="3">
        <v>15</v>
      </c>
      <c r="F325" s="7">
        <f>SUM(E$5:$E325)</f>
        <v>3259</v>
      </c>
      <c r="G325" s="7">
        <f>SUM(E$288:$E325)</f>
        <v>410</v>
      </c>
    </row>
    <row r="326" spans="1:7" ht="12.75">
      <c r="A326" s="3">
        <v>323</v>
      </c>
      <c r="B326" s="6">
        <f>DATE(97,7,6)</f>
        <v>35617</v>
      </c>
      <c r="C326" s="1" t="s">
        <v>17</v>
      </c>
      <c r="D326" s="1" t="s">
        <v>136</v>
      </c>
      <c r="E326" s="3">
        <v>11</v>
      </c>
      <c r="F326" s="7">
        <f>SUM(E$5:$E326)</f>
        <v>3270</v>
      </c>
      <c r="G326" s="7">
        <f>SUM(E$288:$E326)</f>
        <v>421</v>
      </c>
    </row>
    <row r="327" spans="1:7" ht="12.75">
      <c r="A327" s="3">
        <v>324</v>
      </c>
      <c r="B327" s="6">
        <f>DATE(97,7,13)</f>
        <v>35624</v>
      </c>
      <c r="C327" s="1" t="s">
        <v>17</v>
      </c>
      <c r="D327" s="1" t="s">
        <v>322</v>
      </c>
      <c r="E327" s="3">
        <v>14</v>
      </c>
      <c r="F327" s="7">
        <f>SUM(E$5:$E325)</f>
        <v>3259</v>
      </c>
      <c r="G327" s="7">
        <f>SUM(E$288:$E327)</f>
        <v>435</v>
      </c>
    </row>
    <row r="328" spans="1:7" ht="12.75">
      <c r="A328" s="3">
        <v>325</v>
      </c>
      <c r="B328" s="6">
        <f>DATE(97,7,20)</f>
        <v>35631</v>
      </c>
      <c r="C328" s="1" t="s">
        <v>17</v>
      </c>
      <c r="D328" s="1" t="s">
        <v>323</v>
      </c>
      <c r="E328" s="3">
        <v>6</v>
      </c>
      <c r="F328" s="7">
        <f>SUM(E$5:$E328)</f>
        <v>3290</v>
      </c>
      <c r="G328" s="7">
        <f>SUM(E$288:$E328)</f>
        <v>441</v>
      </c>
    </row>
    <row r="329" spans="1:7" ht="12.75">
      <c r="A329" s="3">
        <v>326</v>
      </c>
      <c r="B329" s="6">
        <f>DATE(97,7,27)</f>
        <v>35638</v>
      </c>
      <c r="C329" s="1" t="s">
        <v>17</v>
      </c>
      <c r="D329" s="1" t="s">
        <v>324</v>
      </c>
      <c r="E329" s="3">
        <v>12</v>
      </c>
      <c r="F329" s="7">
        <f>SUM(E$5:$E329)</f>
        <v>3302</v>
      </c>
      <c r="G329" s="7">
        <f>SUM(E$288:$E329)</f>
        <v>453</v>
      </c>
    </row>
    <row r="330" spans="1:7" ht="12.75">
      <c r="A330" s="3">
        <v>327</v>
      </c>
      <c r="B330" s="6">
        <f>DATE(97,7,31)</f>
        <v>35642</v>
      </c>
      <c r="C330" s="1" t="s">
        <v>219</v>
      </c>
      <c r="D330" s="1" t="s">
        <v>325</v>
      </c>
      <c r="E330" s="3">
        <v>5</v>
      </c>
      <c r="F330" s="7">
        <f>SUM(E$5:$E330)</f>
        <v>3307</v>
      </c>
      <c r="G330" s="7">
        <f>SUM(E$288:$E330)</f>
        <v>458</v>
      </c>
    </row>
    <row r="331" spans="1:7" ht="12.75">
      <c r="A331" s="3">
        <v>328</v>
      </c>
      <c r="B331" s="6">
        <f>DATE(97,8,2)</f>
        <v>35644</v>
      </c>
      <c r="C331" s="1" t="s">
        <v>219</v>
      </c>
      <c r="D331" s="1" t="s">
        <v>326</v>
      </c>
      <c r="E331" s="3">
        <v>9</v>
      </c>
      <c r="F331" s="7">
        <f>SUM(E$5:$E331)</f>
        <v>3316</v>
      </c>
      <c r="G331" s="7">
        <f>SUM(E$288:$E331)</f>
        <v>467</v>
      </c>
    </row>
    <row r="332" spans="1:7" ht="12.75">
      <c r="A332" s="3">
        <v>329</v>
      </c>
      <c r="B332" s="6">
        <f>DATE(97,8,4)</f>
        <v>35646</v>
      </c>
      <c r="C332" s="1" t="s">
        <v>219</v>
      </c>
      <c r="D332" s="1" t="s">
        <v>327</v>
      </c>
      <c r="E332" s="3">
        <v>7</v>
      </c>
      <c r="F332" s="7">
        <f>SUM(E$5:$E332)</f>
        <v>3323</v>
      </c>
      <c r="G332" s="7">
        <f>SUM(E$288:$E332)</f>
        <v>474</v>
      </c>
    </row>
    <row r="333" spans="1:7" ht="12.75">
      <c r="A333" s="3">
        <v>330</v>
      </c>
      <c r="B333" s="6">
        <f>DATE(97,8,6)</f>
        <v>35648</v>
      </c>
      <c r="C333" s="1" t="s">
        <v>219</v>
      </c>
      <c r="D333" s="1" t="s">
        <v>328</v>
      </c>
      <c r="E333" s="3">
        <v>9</v>
      </c>
      <c r="F333" s="7">
        <f>SUM(E$5:$E333)</f>
        <v>3332</v>
      </c>
      <c r="G333" s="7">
        <f>SUM(E$288:$E333)</f>
        <v>483</v>
      </c>
    </row>
    <row r="334" spans="1:7" ht="12.75">
      <c r="A334" s="3">
        <v>331</v>
      </c>
      <c r="B334" s="6">
        <f>DATE(97,8,7)</f>
        <v>35649</v>
      </c>
      <c r="C334" s="1" t="s">
        <v>39</v>
      </c>
      <c r="D334" s="1" t="s">
        <v>329</v>
      </c>
      <c r="E334" s="3">
        <v>12</v>
      </c>
      <c r="F334" s="7">
        <f>SUM(E$5:$E334)</f>
        <v>3344</v>
      </c>
      <c r="G334" s="7">
        <f>SUM(E$288:$E334)</f>
        <v>495</v>
      </c>
    </row>
    <row r="335" spans="1:7" ht="12.75">
      <c r="A335" s="3">
        <v>332</v>
      </c>
      <c r="B335" s="6">
        <f>DATE(97,8,8)</f>
        <v>35650</v>
      </c>
      <c r="C335" s="1" t="s">
        <v>219</v>
      </c>
      <c r="D335" s="1" t="s">
        <v>330</v>
      </c>
      <c r="E335" s="3">
        <v>5</v>
      </c>
      <c r="F335" s="7">
        <f>SUM(E$5:$E335)</f>
        <v>3349</v>
      </c>
      <c r="G335" s="7">
        <f>SUM(E$288:$E335)</f>
        <v>500</v>
      </c>
    </row>
    <row r="336" spans="1:7" ht="12.75">
      <c r="A336" s="3">
        <v>333</v>
      </c>
      <c r="B336" s="6">
        <f>DATE(97,8,10)</f>
        <v>35652</v>
      </c>
      <c r="C336" s="1" t="s">
        <v>219</v>
      </c>
      <c r="D336" s="1" t="s">
        <v>509</v>
      </c>
      <c r="E336" s="3">
        <v>6</v>
      </c>
      <c r="F336" s="7">
        <f>SUM(E$5:$E336)</f>
        <v>3355</v>
      </c>
      <c r="G336" s="7">
        <f>SUM(E$288:$E336)</f>
        <v>506</v>
      </c>
    </row>
    <row r="337" spans="1:7" ht="12.75">
      <c r="A337" s="3">
        <v>334</v>
      </c>
      <c r="B337" s="6">
        <f>DATE(97,8,12)</f>
        <v>35654</v>
      </c>
      <c r="C337" s="1" t="s">
        <v>219</v>
      </c>
      <c r="D337" s="1" t="s">
        <v>331</v>
      </c>
      <c r="E337" s="3">
        <v>5</v>
      </c>
      <c r="F337" s="7">
        <f>SUM(E$5:$E337)</f>
        <v>3360</v>
      </c>
      <c r="G337" s="7">
        <f>SUM(E$288:$E337)</f>
        <v>511</v>
      </c>
    </row>
    <row r="338" spans="1:7" ht="12.75">
      <c r="A338" s="3">
        <v>335</v>
      </c>
      <c r="B338" s="6">
        <f>DATE(97,8,16)</f>
        <v>35658</v>
      </c>
      <c r="C338" s="1" t="s">
        <v>332</v>
      </c>
      <c r="D338" s="1" t="s">
        <v>333</v>
      </c>
      <c r="E338" s="3">
        <v>13</v>
      </c>
      <c r="F338" s="7">
        <f>SUM(E$5:$E338)</f>
        <v>3373</v>
      </c>
      <c r="G338" s="7">
        <f>SUM(E$288:$E338)</f>
        <v>524</v>
      </c>
    </row>
    <row r="339" spans="1:7" ht="12.75">
      <c r="A339" s="3">
        <v>336</v>
      </c>
      <c r="B339" s="6">
        <f>DATE(97,8,17)</f>
        <v>35659</v>
      </c>
      <c r="C339" s="1" t="s">
        <v>17</v>
      </c>
      <c r="D339" s="1" t="s">
        <v>334</v>
      </c>
      <c r="E339" s="3">
        <v>5</v>
      </c>
      <c r="F339" s="7">
        <f>SUM(E$5:$E339)</f>
        <v>3378</v>
      </c>
      <c r="G339" s="7">
        <f>SUM(E$288:$E339)</f>
        <v>529</v>
      </c>
    </row>
    <row r="340" spans="1:7" ht="12.75">
      <c r="A340" s="3">
        <v>337</v>
      </c>
      <c r="B340" s="6">
        <f>DATE(97,8,24)</f>
        <v>35666</v>
      </c>
      <c r="C340" s="1" t="s">
        <v>17</v>
      </c>
      <c r="D340" s="1" t="s">
        <v>335</v>
      </c>
      <c r="E340" s="3">
        <v>11</v>
      </c>
      <c r="F340" s="7">
        <f>SUM(E$5:$E340)</f>
        <v>3389</v>
      </c>
      <c r="G340" s="7">
        <f>SUM(E$288:$E340)</f>
        <v>540</v>
      </c>
    </row>
    <row r="341" spans="1:7" ht="12.75">
      <c r="A341" s="3">
        <v>338</v>
      </c>
      <c r="B341" s="6">
        <f>DATE(97,8,26)</f>
        <v>35668</v>
      </c>
      <c r="C341" s="1" t="s">
        <v>219</v>
      </c>
      <c r="D341" s="1" t="s">
        <v>336</v>
      </c>
      <c r="E341" s="3">
        <v>12</v>
      </c>
      <c r="F341" s="7">
        <f>SUM(E$5:$E341)</f>
        <v>3401</v>
      </c>
      <c r="G341" s="7">
        <f>SUM(E$288:$E341)</f>
        <v>552</v>
      </c>
    </row>
    <row r="342" spans="1:7" ht="12.75">
      <c r="A342" s="3">
        <v>339</v>
      </c>
      <c r="B342" s="6">
        <f>DATE(97,8,27)</f>
        <v>35669</v>
      </c>
      <c r="C342" s="1" t="s">
        <v>17</v>
      </c>
      <c r="D342" s="1" t="s">
        <v>337</v>
      </c>
      <c r="E342" s="3">
        <v>3</v>
      </c>
      <c r="F342" s="7">
        <f>SUM(E$5:$E342)</f>
        <v>3404</v>
      </c>
      <c r="G342" s="7">
        <f>SUM(E$288:$E342)</f>
        <v>555</v>
      </c>
    </row>
    <row r="343" spans="1:7" ht="12.75">
      <c r="A343" s="3">
        <v>340</v>
      </c>
      <c r="B343" s="6">
        <f>DATE(97,8,31)</f>
        <v>35673</v>
      </c>
      <c r="C343" s="1" t="s">
        <v>17</v>
      </c>
      <c r="D343" s="1" t="s">
        <v>338</v>
      </c>
      <c r="E343" s="3">
        <v>8</v>
      </c>
      <c r="F343" s="7">
        <f>SUM(E$5:$E343)</f>
        <v>3412</v>
      </c>
      <c r="G343" s="7">
        <f>SUM(E$288:$E343)</f>
        <v>563</v>
      </c>
    </row>
    <row r="344" spans="1:7" ht="12.75">
      <c r="A344" s="3">
        <v>341</v>
      </c>
      <c r="B344" s="6">
        <f>DATE(97,9,3)</f>
        <v>35676</v>
      </c>
      <c r="C344" s="1" t="s">
        <v>39</v>
      </c>
      <c r="D344" s="1" t="s">
        <v>339</v>
      </c>
      <c r="E344" s="3">
        <v>7</v>
      </c>
      <c r="F344" s="7">
        <f>SUM(E$5:$E344)</f>
        <v>3419</v>
      </c>
      <c r="G344" s="7">
        <f>SUM(E$288:$E344)</f>
        <v>570</v>
      </c>
    </row>
    <row r="345" spans="1:7" ht="12.75">
      <c r="A345" s="3">
        <v>342</v>
      </c>
      <c r="B345" s="6">
        <f>DATE(97,9,14)</f>
        <v>35687</v>
      </c>
      <c r="C345" s="1" t="s">
        <v>116</v>
      </c>
      <c r="D345" s="1" t="s">
        <v>89</v>
      </c>
      <c r="E345" s="3">
        <v>5</v>
      </c>
      <c r="F345" s="7">
        <f>SUM(E$5:$E345)</f>
        <v>3424</v>
      </c>
      <c r="G345" s="7">
        <f>SUM(E$288:$E345)</f>
        <v>575</v>
      </c>
    </row>
    <row r="346" spans="1:7" ht="12.75">
      <c r="A346" s="3">
        <v>343</v>
      </c>
      <c r="B346" s="6">
        <f>DATE(97,9,20)</f>
        <v>35693</v>
      </c>
      <c r="C346" s="1" t="s">
        <v>110</v>
      </c>
      <c r="D346" s="1" t="s">
        <v>340</v>
      </c>
      <c r="E346" s="3">
        <v>13</v>
      </c>
      <c r="F346" s="7">
        <f>SUM(E$5:$E346)</f>
        <v>3437</v>
      </c>
      <c r="G346" s="7">
        <f>SUM(E$288:$E346)</f>
        <v>588</v>
      </c>
    </row>
    <row r="347" spans="1:7" ht="12.75">
      <c r="A347" s="3">
        <v>344</v>
      </c>
      <c r="B347" s="6">
        <f>DATE(97,9,21)</f>
        <v>35694</v>
      </c>
      <c r="C347" s="1" t="s">
        <v>17</v>
      </c>
      <c r="D347" s="1" t="s">
        <v>70</v>
      </c>
      <c r="E347" s="3">
        <v>8</v>
      </c>
      <c r="F347" s="7">
        <f>SUM(E$5:$E347)</f>
        <v>3445</v>
      </c>
      <c r="G347" s="7">
        <f>SUM(E$288:$E347)</f>
        <v>596</v>
      </c>
    </row>
    <row r="348" spans="1:7" ht="12.75">
      <c r="A348" s="3">
        <v>345</v>
      </c>
      <c r="B348" s="6">
        <f>DATE(97,9,27)</f>
        <v>35700</v>
      </c>
      <c r="C348" s="1" t="s">
        <v>17</v>
      </c>
      <c r="D348" s="1" t="s">
        <v>341</v>
      </c>
      <c r="E348" s="3">
        <v>13</v>
      </c>
      <c r="F348" s="7">
        <f>SUM(E$5:$E348)</f>
        <v>3458</v>
      </c>
      <c r="G348" s="7">
        <f>SUM(E$288:$E348)</f>
        <v>609</v>
      </c>
    </row>
    <row r="349" spans="1:7" ht="12.75">
      <c r="A349" s="3">
        <v>346</v>
      </c>
      <c r="B349" s="6">
        <f>DATE(97,9,28)</f>
        <v>35701</v>
      </c>
      <c r="C349" s="1" t="s">
        <v>17</v>
      </c>
      <c r="D349" s="1" t="s">
        <v>342</v>
      </c>
      <c r="E349" s="3">
        <v>6</v>
      </c>
      <c r="F349" s="7">
        <f>SUM(E$5:$E349)</f>
        <v>3464</v>
      </c>
      <c r="G349" s="7">
        <f>SUM(E$288:$E349)</f>
        <v>615</v>
      </c>
    </row>
    <row r="350" spans="1:7" ht="12.75">
      <c r="A350" s="3">
        <v>347</v>
      </c>
      <c r="B350" s="6">
        <f>DATE(97,10,5)</f>
        <v>35708</v>
      </c>
      <c r="C350" s="1" t="s">
        <v>17</v>
      </c>
      <c r="D350" s="1" t="s">
        <v>343</v>
      </c>
      <c r="E350" s="3">
        <v>12</v>
      </c>
      <c r="F350" s="7">
        <f>SUM(E$5:$E350)</f>
        <v>3476</v>
      </c>
      <c r="G350" s="7">
        <f>SUM(E$288:$E350)</f>
        <v>627</v>
      </c>
    </row>
    <row r="351" spans="1:7" ht="12.75">
      <c r="A351" s="3">
        <v>348</v>
      </c>
      <c r="B351" s="6">
        <f>DATE(97,10,11)</f>
        <v>35714</v>
      </c>
      <c r="C351" s="1" t="s">
        <v>17</v>
      </c>
      <c r="D351" s="1" t="s">
        <v>344</v>
      </c>
      <c r="E351" s="3">
        <v>12</v>
      </c>
      <c r="F351" s="7">
        <f>SUM(E$5:$E351)</f>
        <v>3488</v>
      </c>
      <c r="G351" s="7">
        <f>SUM(E$288:$E351)</f>
        <v>639</v>
      </c>
    </row>
    <row r="352" spans="1:7" ht="12.75">
      <c r="A352" s="3">
        <v>349</v>
      </c>
      <c r="B352" s="6">
        <f>DATE(97,10,12)</f>
        <v>35715</v>
      </c>
      <c r="C352" s="1" t="s">
        <v>17</v>
      </c>
      <c r="D352" s="1" t="s">
        <v>345</v>
      </c>
      <c r="E352" s="3">
        <v>11</v>
      </c>
      <c r="F352" s="7">
        <f>SUM(E$5:$E352)</f>
        <v>3499</v>
      </c>
      <c r="G352" s="7">
        <f>SUM(E$288:$E352)</f>
        <v>650</v>
      </c>
    </row>
    <row r="353" spans="1:7" ht="12.75">
      <c r="A353" s="3">
        <v>350</v>
      </c>
      <c r="B353" s="6">
        <f>DATE(97,10,19)</f>
        <v>35722</v>
      </c>
      <c r="C353" s="1" t="s">
        <v>17</v>
      </c>
      <c r="D353" s="1" t="s">
        <v>346</v>
      </c>
      <c r="E353" s="3">
        <v>12</v>
      </c>
      <c r="F353" s="7">
        <f>SUM(E$5:$E353)</f>
        <v>3511</v>
      </c>
      <c r="G353" s="7">
        <f>SUM(E$288:$E353)</f>
        <v>662</v>
      </c>
    </row>
    <row r="354" spans="1:7" ht="12.75">
      <c r="A354" s="3">
        <v>351</v>
      </c>
      <c r="B354" s="6">
        <f>DATE(97,10,31)</f>
        <v>35734</v>
      </c>
      <c r="C354" s="1" t="s">
        <v>306</v>
      </c>
      <c r="D354" s="1" t="s">
        <v>347</v>
      </c>
      <c r="E354" s="3">
        <v>7</v>
      </c>
      <c r="F354" s="7">
        <f>SUM(E$5:$E354)</f>
        <v>3518</v>
      </c>
      <c r="G354" s="7">
        <f>SUM(E$288:$E354)</f>
        <v>669</v>
      </c>
    </row>
    <row r="355" spans="1:7" ht="12.75">
      <c r="A355" s="3">
        <v>352</v>
      </c>
      <c r="B355" s="6">
        <f>DATE(97,11,1)</f>
        <v>35735</v>
      </c>
      <c r="C355" s="1" t="s">
        <v>306</v>
      </c>
      <c r="D355" s="1" t="s">
        <v>348</v>
      </c>
      <c r="E355" s="3">
        <v>8</v>
      </c>
      <c r="F355" s="7">
        <f>SUM(E$5:$E355)</f>
        <v>3526</v>
      </c>
      <c r="G355" s="7">
        <f>SUM(E$288:$E355)</f>
        <v>677</v>
      </c>
    </row>
    <row r="356" spans="1:7" ht="12.75">
      <c r="A356" s="3">
        <v>353</v>
      </c>
      <c r="B356" s="6">
        <f>DATE(97,11,2)</f>
        <v>35736</v>
      </c>
      <c r="C356" s="1" t="s">
        <v>306</v>
      </c>
      <c r="D356" s="1" t="s">
        <v>349</v>
      </c>
      <c r="E356" s="3">
        <v>9</v>
      </c>
      <c r="F356" s="7">
        <f>SUM(E$5:$E356)</f>
        <v>3535</v>
      </c>
      <c r="G356" s="7">
        <f>SUM(E$288:$E356)</f>
        <v>686</v>
      </c>
    </row>
    <row r="357" spans="1:7" ht="12.75">
      <c r="A357" s="3">
        <v>354</v>
      </c>
      <c r="B357" s="6">
        <f>DATE(97,11,9)</f>
        <v>35743</v>
      </c>
      <c r="C357" s="1" t="s">
        <v>17</v>
      </c>
      <c r="D357" s="1" t="s">
        <v>350</v>
      </c>
      <c r="E357" s="3">
        <v>5</v>
      </c>
      <c r="F357" s="7">
        <f>SUM(E$5:$E357)</f>
        <v>3540</v>
      </c>
      <c r="G357" s="7">
        <f>SUM(E$288:$E357)</f>
        <v>691</v>
      </c>
    </row>
    <row r="358" spans="1:7" ht="12.75">
      <c r="A358" s="3">
        <v>355</v>
      </c>
      <c r="B358" s="6">
        <f>DATE(97,11,16)</f>
        <v>35750</v>
      </c>
      <c r="C358" s="1" t="s">
        <v>39</v>
      </c>
      <c r="D358" s="1" t="s">
        <v>351</v>
      </c>
      <c r="E358" s="3">
        <v>13</v>
      </c>
      <c r="F358" s="7">
        <f>SUM(E$5:$E358)</f>
        <v>3553</v>
      </c>
      <c r="G358" s="7">
        <f>SUM(E$288:$E358)</f>
        <v>704</v>
      </c>
    </row>
    <row r="359" spans="1:7" ht="12.75">
      <c r="A359" s="3">
        <v>356</v>
      </c>
      <c r="B359" s="6">
        <f>DATE(97,11,29)</f>
        <v>35763</v>
      </c>
      <c r="C359" s="1" t="s">
        <v>141</v>
      </c>
      <c r="D359" s="1" t="s">
        <v>352</v>
      </c>
      <c r="E359" s="3">
        <v>6</v>
      </c>
      <c r="F359" s="7">
        <f>SUM(E$5:$E359)</f>
        <v>3559</v>
      </c>
      <c r="G359" s="7">
        <f>SUM(E$288:$E359)</f>
        <v>710</v>
      </c>
    </row>
    <row r="360" spans="1:7" ht="12.75">
      <c r="A360" s="3">
        <v>357</v>
      </c>
      <c r="B360" s="6">
        <f>DATE(97,11,30)</f>
        <v>35764</v>
      </c>
      <c r="C360" s="1" t="s">
        <v>17</v>
      </c>
      <c r="D360" s="1" t="s">
        <v>45</v>
      </c>
      <c r="E360" s="3">
        <v>10</v>
      </c>
      <c r="F360" s="7">
        <f>SUM(E$5:$E360)</f>
        <v>3569</v>
      </c>
      <c r="G360" s="7">
        <f>SUM(E$288:$E360)</f>
        <v>720</v>
      </c>
    </row>
    <row r="361" spans="1:7" ht="12.75">
      <c r="A361" s="3">
        <v>358</v>
      </c>
      <c r="B361" s="6">
        <f>DATE(97,12,7)</f>
        <v>35771</v>
      </c>
      <c r="C361" s="1" t="s">
        <v>219</v>
      </c>
      <c r="D361" s="1" t="s">
        <v>353</v>
      </c>
      <c r="E361" s="3">
        <v>8</v>
      </c>
      <c r="F361" s="7">
        <f>SUM(E$5:$E361)</f>
        <v>3577</v>
      </c>
      <c r="G361" s="7">
        <f>SUM(E$288:$E361)</f>
        <v>728</v>
      </c>
    </row>
    <row r="362" spans="1:7" ht="12.75">
      <c r="A362" s="3">
        <v>359</v>
      </c>
      <c r="B362" s="6">
        <f>DATE(97,12,13)</f>
        <v>35777</v>
      </c>
      <c r="C362" s="1" t="s">
        <v>354</v>
      </c>
      <c r="D362" s="1" t="s">
        <v>355</v>
      </c>
      <c r="E362" s="3">
        <v>9</v>
      </c>
      <c r="F362" s="7">
        <f>SUM(E$5:$E362)</f>
        <v>3586</v>
      </c>
      <c r="G362" s="7">
        <f>SUM(E$288:$E362)</f>
        <v>737</v>
      </c>
    </row>
    <row r="363" spans="1:7" ht="12.75">
      <c r="A363" s="3">
        <v>360</v>
      </c>
      <c r="B363" s="6">
        <f>DATE(97,12,21)</f>
        <v>35785</v>
      </c>
      <c r="C363" s="1" t="s">
        <v>17</v>
      </c>
      <c r="D363" s="1" t="s">
        <v>292</v>
      </c>
      <c r="E363" s="3">
        <v>5</v>
      </c>
      <c r="F363" s="7">
        <f>SUM(E$5:$E363)</f>
        <v>3591</v>
      </c>
      <c r="G363" s="7">
        <f>SUM(E$288:$E363)</f>
        <v>742</v>
      </c>
    </row>
    <row r="364" spans="1:7" ht="12.75">
      <c r="A364" s="3">
        <v>361</v>
      </c>
      <c r="B364" s="6">
        <f>DATE(97,12,27)</f>
        <v>35791</v>
      </c>
      <c r="C364" s="1" t="s">
        <v>110</v>
      </c>
      <c r="D364" s="1" t="s">
        <v>70</v>
      </c>
      <c r="E364" s="3">
        <v>6</v>
      </c>
      <c r="F364" s="7">
        <f>SUM(E$5:$E364)</f>
        <v>3597</v>
      </c>
      <c r="G364" s="7">
        <f>SUM(E$288:$E364)</f>
        <v>748</v>
      </c>
    </row>
    <row r="365" spans="1:7" ht="12.75">
      <c r="A365" s="3">
        <v>362</v>
      </c>
      <c r="B365" s="6">
        <f>DATE(97,12,31)</f>
        <v>35795</v>
      </c>
      <c r="C365" s="1" t="s">
        <v>219</v>
      </c>
      <c r="D365" s="1" t="s">
        <v>16</v>
      </c>
      <c r="E365" s="3">
        <v>4</v>
      </c>
      <c r="F365" s="7">
        <f>SUM(E$5:$E365)</f>
        <v>3601</v>
      </c>
      <c r="G365" s="7">
        <f>SUM(E$288:$E365)</f>
        <v>752</v>
      </c>
    </row>
    <row r="366" spans="1:7" ht="12.75">
      <c r="A366" s="3">
        <v>363</v>
      </c>
      <c r="B366" s="6">
        <f>DATE(98,1,1)</f>
        <v>35796</v>
      </c>
      <c r="C366" s="1" t="s">
        <v>39</v>
      </c>
      <c r="D366" s="1" t="s">
        <v>23</v>
      </c>
      <c r="E366" s="3">
        <v>15</v>
      </c>
      <c r="F366" s="7">
        <f>SUM(E$5:$E366)</f>
        <v>3616</v>
      </c>
      <c r="G366" s="7">
        <f>SUM(E366)</f>
        <v>15</v>
      </c>
    </row>
    <row r="367" spans="1:7" ht="12.75">
      <c r="A367" s="3">
        <v>364</v>
      </c>
      <c r="B367" s="6">
        <f>DATE(98,1,4)</f>
        <v>35799</v>
      </c>
      <c r="C367" s="1" t="s">
        <v>39</v>
      </c>
      <c r="D367" s="1" t="s">
        <v>130</v>
      </c>
      <c r="E367" s="3">
        <v>13</v>
      </c>
      <c r="F367" s="7">
        <f>SUM(E$5:$E367)</f>
        <v>3629</v>
      </c>
      <c r="G367" s="7">
        <f>SUM($E$366:E367)</f>
        <v>28</v>
      </c>
    </row>
    <row r="368" spans="1:7" ht="12.75">
      <c r="A368" s="3">
        <v>365</v>
      </c>
      <c r="B368" s="6">
        <f>DATE(98,1,10)</f>
        <v>35805</v>
      </c>
      <c r="C368" s="1" t="s">
        <v>356</v>
      </c>
      <c r="D368" s="1" t="s">
        <v>357</v>
      </c>
      <c r="E368" s="3">
        <v>9</v>
      </c>
      <c r="F368" s="7">
        <f>SUM(E$5:$E368)</f>
        <v>3638</v>
      </c>
      <c r="G368" s="7">
        <f>SUM($E$366:E368)</f>
        <v>37</v>
      </c>
    </row>
    <row r="369" spans="1:7" ht="12.75">
      <c r="A369" s="3">
        <v>366</v>
      </c>
      <c r="B369" s="6">
        <f>DATE(98,1,11)</f>
        <v>35806</v>
      </c>
      <c r="C369" s="1" t="s">
        <v>17</v>
      </c>
      <c r="D369" s="1" t="s">
        <v>358</v>
      </c>
      <c r="E369" s="3">
        <v>5</v>
      </c>
      <c r="F369" s="7">
        <f>SUM(E$5:$E369)</f>
        <v>3643</v>
      </c>
      <c r="G369" s="7">
        <f>SUM($E$366:E369)</f>
        <v>42</v>
      </c>
    </row>
    <row r="370" spans="1:7" ht="12.75">
      <c r="A370" s="3">
        <v>367</v>
      </c>
      <c r="B370" s="6">
        <f>DATE(98,1,18)</f>
        <v>35813</v>
      </c>
      <c r="C370" s="1" t="s">
        <v>17</v>
      </c>
      <c r="D370" s="1" t="s">
        <v>359</v>
      </c>
      <c r="E370" s="3">
        <v>5</v>
      </c>
      <c r="F370" s="7">
        <f>SUM(E$5:$E370)</f>
        <v>3648</v>
      </c>
      <c r="G370" s="7">
        <f>SUM($E$366:E370)</f>
        <v>47</v>
      </c>
    </row>
    <row r="371" spans="1:7" ht="12.75">
      <c r="A371" s="3">
        <v>368</v>
      </c>
      <c r="B371" s="6">
        <f>DATE(98,1,25)</f>
        <v>35820</v>
      </c>
      <c r="C371" s="1" t="s">
        <v>39</v>
      </c>
      <c r="D371" s="1" t="s">
        <v>368</v>
      </c>
      <c r="E371" s="3">
        <v>14</v>
      </c>
      <c r="F371" s="7">
        <f>SUM(E$5:$E371)</f>
        <v>3662</v>
      </c>
      <c r="G371" s="7">
        <f>SUM($E$366:E371)</f>
        <v>61</v>
      </c>
    </row>
    <row r="372" spans="1:7" ht="12.75">
      <c r="A372" s="3">
        <v>369</v>
      </c>
      <c r="B372" s="6">
        <f>DATE(98,2,1)</f>
        <v>35827</v>
      </c>
      <c r="C372" s="1" t="s">
        <v>219</v>
      </c>
      <c r="D372" s="1" t="s">
        <v>18</v>
      </c>
      <c r="E372" s="3">
        <v>9</v>
      </c>
      <c r="F372" s="7">
        <f>SUM(E$5:$E372)</f>
        <v>3671</v>
      </c>
      <c r="G372" s="7">
        <f>SUM($E$366:E372)</f>
        <v>70</v>
      </c>
    </row>
    <row r="373" spans="1:7" ht="12.75">
      <c r="A373" s="3">
        <v>370</v>
      </c>
      <c r="B373" s="6">
        <f>DATE(98,2,8)</f>
        <v>35834</v>
      </c>
      <c r="C373" s="1" t="s">
        <v>17</v>
      </c>
      <c r="D373" s="1" t="s">
        <v>369</v>
      </c>
      <c r="E373" s="3">
        <v>14</v>
      </c>
      <c r="F373" s="7">
        <f>SUM(E$5:$E373)</f>
        <v>3685</v>
      </c>
      <c r="G373" s="7">
        <f>SUM($E$366:E373)</f>
        <v>84</v>
      </c>
    </row>
    <row r="374" spans="1:7" ht="12.75">
      <c r="A374" s="3">
        <v>371</v>
      </c>
      <c r="B374" s="6">
        <f>DATE(98,2,15)</f>
        <v>35841</v>
      </c>
      <c r="C374" s="1" t="s">
        <v>17</v>
      </c>
      <c r="D374" s="1" t="s">
        <v>360</v>
      </c>
      <c r="E374" s="3">
        <v>8</v>
      </c>
      <c r="F374" s="7">
        <f>SUM(E$5:$E374)</f>
        <v>3693</v>
      </c>
      <c r="G374" s="7">
        <f>SUM($E$366:E374)</f>
        <v>92</v>
      </c>
    </row>
    <row r="375" spans="1:7" ht="12.75">
      <c r="A375" s="3">
        <v>372</v>
      </c>
      <c r="B375" s="6">
        <f>DATE(98,2,22)</f>
        <v>35848</v>
      </c>
      <c r="C375" s="1" t="s">
        <v>17</v>
      </c>
      <c r="D375" s="1" t="s">
        <v>361</v>
      </c>
      <c r="E375" s="3">
        <v>10</v>
      </c>
      <c r="F375" s="7">
        <f>SUM(E$5:$E375)</f>
        <v>3703</v>
      </c>
      <c r="G375" s="7">
        <f>SUM($E$366:E375)</f>
        <v>102</v>
      </c>
    </row>
    <row r="376" spans="1:7" ht="12.75">
      <c r="A376" s="3">
        <v>373</v>
      </c>
      <c r="B376" s="6">
        <f>DATE(98,2,26)</f>
        <v>35852</v>
      </c>
      <c r="C376" s="1" t="s">
        <v>332</v>
      </c>
      <c r="D376" s="1" t="s">
        <v>370</v>
      </c>
      <c r="E376" s="3">
        <v>12</v>
      </c>
      <c r="F376" s="7">
        <f>SUM(E$5:$E376)</f>
        <v>3715</v>
      </c>
      <c r="G376" s="7">
        <f>SUM($E$366:E376)</f>
        <v>114</v>
      </c>
    </row>
    <row r="377" spans="1:7" ht="12.75">
      <c r="A377" s="3">
        <v>374</v>
      </c>
      <c r="B377" s="6">
        <f>DATE(98,2,28)</f>
        <v>35854</v>
      </c>
      <c r="C377" s="1" t="s">
        <v>219</v>
      </c>
      <c r="D377" s="1" t="s">
        <v>371</v>
      </c>
      <c r="E377" s="3">
        <v>11</v>
      </c>
      <c r="F377" s="7">
        <f>SUM(E$5:$E377)</f>
        <v>3726</v>
      </c>
      <c r="G377" s="7">
        <f>SUM($E$366:E377)</f>
        <v>125</v>
      </c>
    </row>
    <row r="378" spans="1:7" ht="12.75">
      <c r="A378" s="3">
        <v>375</v>
      </c>
      <c r="B378" s="6">
        <f>DATE(98,3,1)</f>
        <v>35855</v>
      </c>
      <c r="C378" s="1" t="s">
        <v>219</v>
      </c>
      <c r="D378" s="1" t="s">
        <v>372</v>
      </c>
      <c r="E378" s="3">
        <v>6</v>
      </c>
      <c r="F378" s="7">
        <f>SUM(E$5:$E378)</f>
        <v>3732</v>
      </c>
      <c r="G378" s="7">
        <f>SUM($E$366:E378)</f>
        <v>131</v>
      </c>
    </row>
    <row r="379" spans="1:7" ht="12.75">
      <c r="A379" s="3">
        <v>376</v>
      </c>
      <c r="B379" s="6">
        <f>DATE(98,3,8)</f>
        <v>35862</v>
      </c>
      <c r="C379" s="1" t="s">
        <v>17</v>
      </c>
      <c r="D379" s="1" t="s">
        <v>304</v>
      </c>
      <c r="E379" s="3">
        <v>13</v>
      </c>
      <c r="F379" s="7">
        <f>SUM(E$5:$E379)</f>
        <v>3745</v>
      </c>
      <c r="G379" s="7">
        <f>SUM($E$366:E379)</f>
        <v>144</v>
      </c>
    </row>
    <row r="380" spans="1:7" ht="12.75">
      <c r="A380" s="3">
        <v>377</v>
      </c>
      <c r="B380" s="6">
        <f>DATE(98,3,14)</f>
        <v>35868</v>
      </c>
      <c r="C380" s="1" t="s">
        <v>116</v>
      </c>
      <c r="D380" s="1" t="s">
        <v>373</v>
      </c>
      <c r="E380" s="3">
        <v>10</v>
      </c>
      <c r="F380" s="7">
        <f>SUM(E$5:$E380)</f>
        <v>3755</v>
      </c>
      <c r="G380" s="7">
        <f>SUM($E$366:E380)</f>
        <v>154</v>
      </c>
    </row>
    <row r="381" spans="1:7" ht="12.75">
      <c r="A381" s="3">
        <v>378</v>
      </c>
      <c r="B381" s="6">
        <f>DATE(98,3,15)</f>
        <v>35869</v>
      </c>
      <c r="C381" s="1" t="s">
        <v>219</v>
      </c>
      <c r="D381" s="1" t="s">
        <v>18</v>
      </c>
      <c r="E381" s="3">
        <v>5</v>
      </c>
      <c r="F381" s="7">
        <f>SUM(E$5:$E381)</f>
        <v>3760</v>
      </c>
      <c r="G381" s="7">
        <f>SUM($E$366:E381)</f>
        <v>159</v>
      </c>
    </row>
    <row r="382" spans="1:7" ht="12.75">
      <c r="A382" s="3">
        <v>379</v>
      </c>
      <c r="B382" s="6">
        <f>DATE(98,3,22)</f>
        <v>35876</v>
      </c>
      <c r="C382" s="1" t="s">
        <v>17</v>
      </c>
      <c r="D382" s="1" t="s">
        <v>362</v>
      </c>
      <c r="E382" s="3">
        <v>12</v>
      </c>
      <c r="F382" s="7">
        <f>SUM(E$5:$E382)</f>
        <v>3772</v>
      </c>
      <c r="G382" s="7">
        <f>SUM($E$366:E382)</f>
        <v>171</v>
      </c>
    </row>
    <row r="383" spans="1:7" ht="12.75">
      <c r="A383" s="3">
        <v>380</v>
      </c>
      <c r="B383" s="6">
        <f>DATE(98,3,28)</f>
        <v>35882</v>
      </c>
      <c r="C383" s="1" t="s">
        <v>39</v>
      </c>
      <c r="D383" s="2" t="s">
        <v>377</v>
      </c>
      <c r="E383" s="2">
        <v>17</v>
      </c>
      <c r="F383" s="7">
        <f>SUM(E$5:$E383)</f>
        <v>3789</v>
      </c>
      <c r="G383" s="7">
        <f>SUM($E$366:E383)</f>
        <v>188</v>
      </c>
    </row>
    <row r="384" spans="1:7" ht="12.75">
      <c r="A384" s="3">
        <v>381</v>
      </c>
      <c r="B384" s="6">
        <f>DATE(98,3,29)</f>
        <v>35883</v>
      </c>
      <c r="C384" s="1" t="s">
        <v>306</v>
      </c>
      <c r="D384" s="1" t="s">
        <v>376</v>
      </c>
      <c r="E384" s="5">
        <v>8</v>
      </c>
      <c r="F384" s="7">
        <f>SUM(E$5:$E384)</f>
        <v>3797</v>
      </c>
      <c r="G384" s="7">
        <f>SUM($E$366:E384)</f>
        <v>196</v>
      </c>
    </row>
    <row r="385" spans="1:7" ht="12.75">
      <c r="A385" s="3">
        <v>382</v>
      </c>
      <c r="B385" s="6">
        <f>DATE(98,4,5)</f>
        <v>35890</v>
      </c>
      <c r="C385" s="1" t="s">
        <v>17</v>
      </c>
      <c r="D385" s="1" t="s">
        <v>131</v>
      </c>
      <c r="E385" s="3">
        <v>12</v>
      </c>
      <c r="F385" s="7">
        <f>SUM(E$5:$E385)</f>
        <v>3809</v>
      </c>
      <c r="G385" s="7">
        <f>SUM($E$366:E385)</f>
        <v>208</v>
      </c>
    </row>
    <row r="386" spans="1:7" ht="12.75">
      <c r="A386" s="3">
        <v>383</v>
      </c>
      <c r="B386" s="6">
        <f>DATE(85,4,14)</f>
        <v>31151</v>
      </c>
      <c r="C386" s="1" t="s">
        <v>219</v>
      </c>
      <c r="D386" s="1" t="s">
        <v>378</v>
      </c>
      <c r="E386" s="3">
        <v>10</v>
      </c>
      <c r="F386" s="7">
        <f>SUM(E$5:$E386)</f>
        <v>3819</v>
      </c>
      <c r="G386" s="7">
        <f>SUM($E$366:E386)</f>
        <v>218</v>
      </c>
    </row>
    <row r="387" spans="1:7" ht="12.75">
      <c r="A387" s="3">
        <v>384</v>
      </c>
      <c r="B387" s="6">
        <f>DATE(98,4,18)</f>
        <v>35903</v>
      </c>
      <c r="C387" s="1" t="s">
        <v>39</v>
      </c>
      <c r="D387" s="1" t="s">
        <v>287</v>
      </c>
      <c r="E387" s="3">
        <v>10</v>
      </c>
      <c r="F387" s="7">
        <f>SUM(E$5:$E387)</f>
        <v>3829</v>
      </c>
      <c r="G387" s="7">
        <f>SUM($E$366:E387)</f>
        <v>228</v>
      </c>
    </row>
    <row r="388" spans="1:7" ht="12.75">
      <c r="A388" s="3">
        <v>385</v>
      </c>
      <c r="B388" s="6">
        <f>DATE(98,4,19)</f>
        <v>35904</v>
      </c>
      <c r="C388" s="1" t="s">
        <v>17</v>
      </c>
      <c r="D388" s="1" t="s">
        <v>363</v>
      </c>
      <c r="E388" s="3">
        <v>11</v>
      </c>
      <c r="F388" s="7">
        <f>SUM(E$5:$E388)</f>
        <v>3840</v>
      </c>
      <c r="G388" s="7">
        <f>SUM($E$366:E388)</f>
        <v>239</v>
      </c>
    </row>
    <row r="389" spans="1:7" ht="12.75">
      <c r="A389" s="3">
        <v>386</v>
      </c>
      <c r="B389" s="6">
        <f>DATE(98,4,23)</f>
        <v>35908</v>
      </c>
      <c r="C389" s="1" t="s">
        <v>110</v>
      </c>
      <c r="D389" s="1" t="s">
        <v>374</v>
      </c>
      <c r="E389" s="3">
        <v>12</v>
      </c>
      <c r="F389" s="7">
        <f>SUM(D$5:$E389)</f>
        <v>3852</v>
      </c>
      <c r="G389" s="7">
        <f>SUM(D$366:$E389)</f>
        <v>251</v>
      </c>
    </row>
    <row r="390" spans="1:7" ht="12.75">
      <c r="A390" s="3">
        <v>387</v>
      </c>
      <c r="B390" s="6">
        <f>DATE(98,4,26)</f>
        <v>35911</v>
      </c>
      <c r="C390" s="1" t="s">
        <v>17</v>
      </c>
      <c r="D390" s="1" t="s">
        <v>230</v>
      </c>
      <c r="E390" s="3">
        <v>5</v>
      </c>
      <c r="F390" s="7">
        <f>SUM(D$5:$E390)</f>
        <v>3857</v>
      </c>
      <c r="G390" s="7">
        <f>SUM(D$366:$E390)</f>
        <v>256</v>
      </c>
    </row>
    <row r="391" spans="1:7" ht="12.75">
      <c r="A391" s="3">
        <v>388</v>
      </c>
      <c r="B391" s="6">
        <f>DATE(98,5,3)</f>
        <v>35918</v>
      </c>
      <c r="C391" s="1" t="s">
        <v>17</v>
      </c>
      <c r="D391" s="1" t="s">
        <v>364</v>
      </c>
      <c r="E391" s="3">
        <v>13</v>
      </c>
      <c r="F391" s="7">
        <f>SUM(E$5:$E391)</f>
        <v>3870</v>
      </c>
      <c r="G391" s="7">
        <f>SUM($E$366:E391)</f>
        <v>269</v>
      </c>
    </row>
    <row r="392" spans="1:7" ht="12.75">
      <c r="A392" s="3">
        <v>389</v>
      </c>
      <c r="B392" s="6">
        <f>DATE(98,5,10)</f>
        <v>35925</v>
      </c>
      <c r="C392" s="1" t="s">
        <v>39</v>
      </c>
      <c r="D392" s="1" t="s">
        <v>389</v>
      </c>
      <c r="E392" s="3">
        <v>15</v>
      </c>
      <c r="F392" s="7">
        <f>SUM(E$5:$E392)</f>
        <v>3885</v>
      </c>
      <c r="G392" s="7">
        <f>SUM($E$366:E392)</f>
        <v>284</v>
      </c>
    </row>
    <row r="393" spans="1:7" ht="12.75">
      <c r="A393" s="3">
        <v>390</v>
      </c>
      <c r="B393" s="6">
        <f>DATE(98,5,15)</f>
        <v>35930</v>
      </c>
      <c r="C393" s="1" t="s">
        <v>394</v>
      </c>
      <c r="D393" s="1" t="s">
        <v>136</v>
      </c>
      <c r="E393" s="5">
        <v>2</v>
      </c>
      <c r="F393" s="7">
        <f>SUM(E$5:$E393)</f>
        <v>3887</v>
      </c>
      <c r="G393" s="7">
        <f>SUM($E$366:E393)</f>
        <v>286</v>
      </c>
    </row>
    <row r="394" spans="1:7" ht="12.75">
      <c r="A394" s="3">
        <v>391</v>
      </c>
      <c r="B394" s="6">
        <f>DATE(98,5,17)</f>
        <v>35932</v>
      </c>
      <c r="C394" s="1" t="s">
        <v>219</v>
      </c>
      <c r="D394" s="1" t="s">
        <v>395</v>
      </c>
      <c r="E394" s="5">
        <v>11</v>
      </c>
      <c r="F394" s="7">
        <f>SUM(E$5:$E394)</f>
        <v>3898</v>
      </c>
      <c r="G394" s="7">
        <f>SUM($E$366:E394)</f>
        <v>297</v>
      </c>
    </row>
    <row r="395" spans="1:7" ht="12.75">
      <c r="A395" s="3">
        <v>392</v>
      </c>
      <c r="B395" s="6">
        <f>DATE(98,5,28)</f>
        <v>35943</v>
      </c>
      <c r="C395" s="1" t="s">
        <v>116</v>
      </c>
      <c r="D395" s="1" t="s">
        <v>375</v>
      </c>
      <c r="E395" s="3">
        <v>9</v>
      </c>
      <c r="F395" s="7">
        <f>SUM(E$5:$E395)</f>
        <v>3907</v>
      </c>
      <c r="G395" s="7">
        <f>SUM($E$366:E395)</f>
        <v>306</v>
      </c>
    </row>
    <row r="396" spans="1:7" ht="12.75">
      <c r="A396" s="3">
        <v>393</v>
      </c>
      <c r="B396" s="6">
        <f>DATE(98,5,29)</f>
        <v>35944</v>
      </c>
      <c r="C396" s="1" t="s">
        <v>116</v>
      </c>
      <c r="D396" s="1" t="s">
        <v>375</v>
      </c>
      <c r="E396" s="3">
        <v>10</v>
      </c>
      <c r="F396" s="7">
        <f>SUM(E$5:$E396)</f>
        <v>3917</v>
      </c>
      <c r="G396" s="7">
        <f>SUM($E$366:E396)</f>
        <v>316</v>
      </c>
    </row>
    <row r="397" spans="1:7" ht="12.75">
      <c r="A397" s="3">
        <v>394</v>
      </c>
      <c r="B397" s="6">
        <f>DATE(98,5,30)</f>
        <v>35945</v>
      </c>
      <c r="C397" s="1" t="s">
        <v>116</v>
      </c>
      <c r="D397" s="1" t="s">
        <v>375</v>
      </c>
      <c r="E397" s="3">
        <v>9</v>
      </c>
      <c r="F397" s="7">
        <f>SUM(E$5:$E397)</f>
        <v>3926</v>
      </c>
      <c r="G397" s="7">
        <f>SUM($E$366:E397)</f>
        <v>325</v>
      </c>
    </row>
    <row r="398" spans="1:7" ht="12.75">
      <c r="A398" s="3">
        <v>395</v>
      </c>
      <c r="B398" s="6">
        <f>DATE(98,5,31)</f>
        <v>35946</v>
      </c>
      <c r="C398" s="1" t="s">
        <v>17</v>
      </c>
      <c r="D398" s="1" t="s">
        <v>365</v>
      </c>
      <c r="E398" s="3">
        <v>10</v>
      </c>
      <c r="F398" s="7">
        <f>SUM(E$5:$E398)</f>
        <v>3936</v>
      </c>
      <c r="G398" s="7">
        <f>SUM($E$366:E398)</f>
        <v>335</v>
      </c>
    </row>
    <row r="399" spans="1:7" ht="12.75">
      <c r="A399" s="3">
        <v>396</v>
      </c>
      <c r="B399" s="6">
        <f>DATE(98,6,7)</f>
        <v>35953</v>
      </c>
      <c r="C399" s="1" t="s">
        <v>39</v>
      </c>
      <c r="D399" s="1" t="s">
        <v>396</v>
      </c>
      <c r="E399" s="3">
        <v>11</v>
      </c>
      <c r="F399" s="7">
        <f>SUM(E$5:$E399)</f>
        <v>3947</v>
      </c>
      <c r="G399" s="7">
        <f>SUM($E$366:E399)</f>
        <v>346</v>
      </c>
    </row>
    <row r="400" spans="1:7" ht="12.75">
      <c r="A400" s="3">
        <v>397</v>
      </c>
      <c r="B400" s="6">
        <f>DATE(98,6,14)</f>
        <v>35960</v>
      </c>
      <c r="C400" s="1" t="s">
        <v>17</v>
      </c>
      <c r="D400" s="1" t="s">
        <v>366</v>
      </c>
      <c r="E400" s="3">
        <v>13</v>
      </c>
      <c r="F400" s="7">
        <f>SUM(E$5:$E400)</f>
        <v>3960</v>
      </c>
      <c r="G400" s="7">
        <f>SUM($E$366:E400)</f>
        <v>359</v>
      </c>
    </row>
    <row r="401" spans="1:7" ht="12.75">
      <c r="A401" s="3">
        <v>398</v>
      </c>
      <c r="B401" s="6">
        <f>DATE(98,6,17)</f>
        <v>35963</v>
      </c>
      <c r="C401" s="1" t="s">
        <v>17</v>
      </c>
      <c r="D401" s="1" t="s">
        <v>392</v>
      </c>
      <c r="E401" s="3">
        <v>3</v>
      </c>
      <c r="F401" s="7">
        <f>SUM(E$5:$E401)</f>
        <v>3963</v>
      </c>
      <c r="G401" s="7">
        <f>SUM($E$366:E401)</f>
        <v>362</v>
      </c>
    </row>
    <row r="402" spans="1:7" ht="12.75">
      <c r="A402" s="3">
        <v>399</v>
      </c>
      <c r="B402" s="6">
        <f>DATE(98,6,20)</f>
        <v>35966</v>
      </c>
      <c r="C402" s="1" t="s">
        <v>219</v>
      </c>
      <c r="D402" s="1" t="s">
        <v>397</v>
      </c>
      <c r="E402" s="3">
        <v>6</v>
      </c>
      <c r="F402" s="7">
        <f>SUM(E$5:$E402)</f>
        <v>3969</v>
      </c>
      <c r="G402" s="7">
        <f>SUM($E$366:E402)</f>
        <v>368</v>
      </c>
    </row>
    <row r="403" spans="1:7" ht="12.75">
      <c r="A403" s="3">
        <v>400</v>
      </c>
      <c r="B403" s="6">
        <f>DATE(98,6,21)</f>
        <v>35967</v>
      </c>
      <c r="C403" s="1" t="s">
        <v>17</v>
      </c>
      <c r="D403" s="1" t="s">
        <v>398</v>
      </c>
      <c r="E403" s="3">
        <v>10</v>
      </c>
      <c r="F403" s="7">
        <f>SUM(E$5:$E403)</f>
        <v>3979</v>
      </c>
      <c r="G403" s="7">
        <f>SUM($E$366:E403)</f>
        <v>378</v>
      </c>
    </row>
    <row r="404" spans="1:7" ht="12.75">
      <c r="A404" s="3">
        <v>401</v>
      </c>
      <c r="B404" s="6">
        <f>DATE(98,6,28)</f>
        <v>35974</v>
      </c>
      <c r="C404" s="1" t="s">
        <v>39</v>
      </c>
      <c r="D404" s="1" t="s">
        <v>401</v>
      </c>
      <c r="E404" s="3">
        <v>11</v>
      </c>
      <c r="F404" s="7">
        <f>SUM(E$5:$E404)</f>
        <v>3990</v>
      </c>
      <c r="G404" s="7">
        <f>SUM($E$366:E404)</f>
        <v>389</v>
      </c>
    </row>
    <row r="405" spans="1:7" ht="12.75">
      <c r="A405" s="3">
        <v>402</v>
      </c>
      <c r="B405" s="6">
        <f>DATE(98,7,1)</f>
        <v>35977</v>
      </c>
      <c r="C405" s="1" t="s">
        <v>39</v>
      </c>
      <c r="D405" s="2" t="s">
        <v>402</v>
      </c>
      <c r="E405" s="2">
        <v>4</v>
      </c>
      <c r="F405" s="7">
        <f>SUM(E$5:$E405)</f>
        <v>3994</v>
      </c>
      <c r="G405" s="7">
        <f>SUM($E$366:E405)</f>
        <v>393</v>
      </c>
    </row>
    <row r="406" spans="1:7" ht="12.75">
      <c r="A406" s="3">
        <v>403</v>
      </c>
      <c r="B406" s="6">
        <f>DATE(98,7,4)</f>
        <v>35980</v>
      </c>
      <c r="C406" s="1" t="s">
        <v>390</v>
      </c>
      <c r="D406" s="2" t="s">
        <v>391</v>
      </c>
      <c r="E406" s="2">
        <v>4</v>
      </c>
      <c r="F406" s="7">
        <f>SUM(E$5:$E406)</f>
        <v>3998</v>
      </c>
      <c r="G406" s="7">
        <f>SUM($E$366:E406)</f>
        <v>397</v>
      </c>
    </row>
    <row r="407" spans="1:7" ht="12.75">
      <c r="A407" s="3">
        <v>404</v>
      </c>
      <c r="B407" s="6">
        <f>DATE(98,7,5)</f>
        <v>35981</v>
      </c>
      <c r="C407" s="1" t="s">
        <v>17</v>
      </c>
      <c r="D407" s="2" t="s">
        <v>379</v>
      </c>
      <c r="E407" s="2">
        <v>10</v>
      </c>
      <c r="F407" s="7">
        <f>SUM(E$5:$E407)</f>
        <v>4008</v>
      </c>
      <c r="G407" s="7">
        <f>SUM($E$366:E407)</f>
        <v>407</v>
      </c>
    </row>
    <row r="408" spans="1:7" ht="12.75">
      <c r="A408" s="3">
        <v>405</v>
      </c>
      <c r="B408" s="6">
        <f>DATE(98,7,11)</f>
        <v>35987</v>
      </c>
      <c r="C408" s="1" t="s">
        <v>17</v>
      </c>
      <c r="D408" s="2" t="s">
        <v>392</v>
      </c>
      <c r="E408" s="5">
        <v>3</v>
      </c>
      <c r="F408" s="7">
        <f>SUM(E$5:$E408)</f>
        <v>4011</v>
      </c>
      <c r="G408" s="7">
        <f>SUM($E$366:E408)</f>
        <v>410</v>
      </c>
    </row>
    <row r="409" spans="1:7" ht="12.75">
      <c r="A409" s="3">
        <v>406</v>
      </c>
      <c r="B409" s="6">
        <f>DATE(98,7,22)</f>
        <v>35998</v>
      </c>
      <c r="C409" s="1" t="s">
        <v>116</v>
      </c>
      <c r="D409" s="2" t="s">
        <v>388</v>
      </c>
      <c r="E409" s="5">
        <v>13</v>
      </c>
      <c r="F409" s="7">
        <f>SUM(E$5:$E409)</f>
        <v>4024</v>
      </c>
      <c r="G409" s="7">
        <f>SUM($E$366:E409)</f>
        <v>423</v>
      </c>
    </row>
    <row r="410" spans="1:7" ht="12.75">
      <c r="A410" s="3">
        <v>407</v>
      </c>
      <c r="B410" s="6">
        <f>DATE(98,7,25)</f>
        <v>36001</v>
      </c>
      <c r="C410" s="1" t="s">
        <v>15</v>
      </c>
      <c r="D410" s="2" t="s">
        <v>403</v>
      </c>
      <c r="E410" s="5">
        <v>13</v>
      </c>
      <c r="F410" s="7">
        <f>SUM(E$5:$E410)</f>
        <v>4037</v>
      </c>
      <c r="G410" s="7">
        <f>SUM($E$366:E410)</f>
        <v>436</v>
      </c>
    </row>
    <row r="411" spans="1:7" ht="12.75">
      <c r="A411" s="3">
        <v>408</v>
      </c>
      <c r="B411" s="6">
        <f>DATE(98,7,26)</f>
        <v>36002</v>
      </c>
      <c r="C411" s="1" t="s">
        <v>17</v>
      </c>
      <c r="D411" s="2" t="s">
        <v>400</v>
      </c>
      <c r="E411" s="5">
        <v>10</v>
      </c>
      <c r="F411" s="7">
        <f>SUM(E$5:$E411)</f>
        <v>4047</v>
      </c>
      <c r="G411" s="7">
        <f>SUM($E$366:E411)</f>
        <v>446</v>
      </c>
    </row>
    <row r="412" spans="1:7" ht="12.75">
      <c r="A412" s="3">
        <v>409</v>
      </c>
      <c r="B412" s="6">
        <f>DATE(98,7,30)</f>
        <v>36006</v>
      </c>
      <c r="C412" s="1" t="s">
        <v>219</v>
      </c>
      <c r="D412" s="2" t="s">
        <v>404</v>
      </c>
      <c r="E412" s="5">
        <v>8</v>
      </c>
      <c r="F412" s="7">
        <f>SUM(E$5:$E412)</f>
        <v>4055</v>
      </c>
      <c r="G412" s="7">
        <f>SUM($E$366:E412)</f>
        <v>454</v>
      </c>
    </row>
    <row r="413" spans="1:7" ht="12.75">
      <c r="A413" s="3">
        <v>410</v>
      </c>
      <c r="B413" s="6">
        <f>DATE(98,7,31)</f>
        <v>36007</v>
      </c>
      <c r="C413" s="1" t="s">
        <v>219</v>
      </c>
      <c r="D413" s="2" t="s">
        <v>405</v>
      </c>
      <c r="E413" s="5">
        <v>5</v>
      </c>
      <c r="F413" s="7">
        <f>SUM(E$5:$E413)</f>
        <v>4060</v>
      </c>
      <c r="G413" s="7">
        <f>SUM($E$366:E413)</f>
        <v>459</v>
      </c>
    </row>
    <row r="414" spans="1:7" ht="12.75">
      <c r="A414" s="2">
        <v>411</v>
      </c>
      <c r="B414" s="6">
        <f>DATE(98,8,1)</f>
        <v>36008</v>
      </c>
      <c r="C414" s="1" t="s">
        <v>219</v>
      </c>
      <c r="D414" s="2" t="s">
        <v>406</v>
      </c>
      <c r="E414" s="5">
        <v>10</v>
      </c>
      <c r="F414" s="7">
        <f>SUM(E$5:$E414)</f>
        <v>4070</v>
      </c>
      <c r="G414" s="7">
        <f>SUM($E$366:E414)</f>
        <v>469</v>
      </c>
    </row>
    <row r="415" spans="1:7" ht="12.75">
      <c r="A415" s="2">
        <v>412</v>
      </c>
      <c r="B415" s="6">
        <f>DATE(98,8,2)</f>
        <v>36009</v>
      </c>
      <c r="C415" s="1" t="s">
        <v>219</v>
      </c>
      <c r="D415" s="2" t="s">
        <v>414</v>
      </c>
      <c r="E415" s="5">
        <v>2</v>
      </c>
      <c r="F415" s="7">
        <f>SUM(E$5:$E415)</f>
        <v>4072</v>
      </c>
      <c r="G415" s="7">
        <f>SUM($E$366:E415)</f>
        <v>471</v>
      </c>
    </row>
    <row r="416" spans="1:7" ht="12.75">
      <c r="A416" s="2">
        <v>413</v>
      </c>
      <c r="B416" s="6">
        <f>DATE(98,8,3)</f>
        <v>36010</v>
      </c>
      <c r="C416" s="1" t="s">
        <v>219</v>
      </c>
      <c r="D416" s="2" t="s">
        <v>415</v>
      </c>
      <c r="E416" s="5">
        <v>2</v>
      </c>
      <c r="F416" s="7">
        <f>SUM(E$5:$E416)</f>
        <v>4074</v>
      </c>
      <c r="G416" s="7">
        <f>SUM($E$366:E416)</f>
        <v>473</v>
      </c>
    </row>
    <row r="417" spans="1:7" ht="12.75">
      <c r="A417" s="2">
        <v>414</v>
      </c>
      <c r="B417" s="6">
        <f>DATE(98,8,4)</f>
        <v>36011</v>
      </c>
      <c r="C417" s="1" t="s">
        <v>219</v>
      </c>
      <c r="D417" s="2" t="s">
        <v>407</v>
      </c>
      <c r="E417" s="5">
        <v>11</v>
      </c>
      <c r="F417" s="7">
        <f>SUM(E$5:$E417)</f>
        <v>4085</v>
      </c>
      <c r="G417" s="7">
        <f>SUM($E$366:E417)</f>
        <v>484</v>
      </c>
    </row>
    <row r="418" spans="1:7" ht="12.75">
      <c r="A418" s="2">
        <v>415</v>
      </c>
      <c r="B418" s="6">
        <f>DATE(98,8,6)</f>
        <v>36013</v>
      </c>
      <c r="C418" s="1" t="s">
        <v>219</v>
      </c>
      <c r="D418" s="2" t="s">
        <v>408</v>
      </c>
      <c r="E418" s="5">
        <v>10</v>
      </c>
      <c r="F418" s="7">
        <f>SUM(E$5:$E418)</f>
        <v>4095</v>
      </c>
      <c r="G418" s="7">
        <f>SUM($E$366:E418)</f>
        <v>494</v>
      </c>
    </row>
    <row r="419" spans="1:7" ht="12.75">
      <c r="A419" s="2">
        <v>416</v>
      </c>
      <c r="B419" s="6">
        <f>DATE(98,8,7)</f>
        <v>36014</v>
      </c>
      <c r="C419" s="1" t="s">
        <v>219</v>
      </c>
      <c r="D419" s="2" t="s">
        <v>409</v>
      </c>
      <c r="E419" s="5">
        <v>10</v>
      </c>
      <c r="F419" s="7">
        <f>SUM(E$5:$E419)</f>
        <v>4105</v>
      </c>
      <c r="G419" s="7">
        <f>SUM($E$366:E419)</f>
        <v>504</v>
      </c>
    </row>
    <row r="420" spans="1:7" ht="12.75">
      <c r="A420" s="2">
        <v>417</v>
      </c>
      <c r="B420" s="6">
        <f>DATE(98,8,8)</f>
        <v>36015</v>
      </c>
      <c r="C420" s="1" t="s">
        <v>219</v>
      </c>
      <c r="D420" s="2" t="s">
        <v>410</v>
      </c>
      <c r="E420" s="5">
        <v>8</v>
      </c>
      <c r="F420" s="7">
        <f>SUM(E$5:$E420)</f>
        <v>4113</v>
      </c>
      <c r="G420" s="7">
        <f>SUM($E$366:E420)</f>
        <v>512</v>
      </c>
    </row>
    <row r="421" spans="1:7" ht="12.75">
      <c r="A421" s="2">
        <v>418</v>
      </c>
      <c r="B421" s="6">
        <f>DATE(98,8,11)</f>
        <v>36018</v>
      </c>
      <c r="C421" s="1" t="s">
        <v>219</v>
      </c>
      <c r="D421" s="2" t="s">
        <v>411</v>
      </c>
      <c r="E421" s="5">
        <v>5</v>
      </c>
      <c r="F421" s="7">
        <f>SUM(E$5:$E421)</f>
        <v>4118</v>
      </c>
      <c r="G421" s="7">
        <f>SUM($E$366:E421)</f>
        <v>517</v>
      </c>
    </row>
    <row r="422" spans="1:7" ht="12.75">
      <c r="A422" s="2">
        <v>419</v>
      </c>
      <c r="B422" s="6">
        <f>DATE(98,8,15)</f>
        <v>36022</v>
      </c>
      <c r="C422" s="1" t="s">
        <v>399</v>
      </c>
      <c r="D422" s="2" t="s">
        <v>412</v>
      </c>
      <c r="E422" s="5">
        <v>11</v>
      </c>
      <c r="F422" s="7">
        <f>SUM(E$5:$E422)</f>
        <v>4129</v>
      </c>
      <c r="G422" s="7">
        <f>SUM($E$366:E422)</f>
        <v>528</v>
      </c>
    </row>
    <row r="423" spans="1:7" ht="12.75">
      <c r="A423" s="2">
        <v>420</v>
      </c>
      <c r="B423" s="6">
        <f>DATE(98,8,16)</f>
        <v>36023</v>
      </c>
      <c r="C423" s="1" t="s">
        <v>17</v>
      </c>
      <c r="D423" s="2" t="s">
        <v>16</v>
      </c>
      <c r="E423" s="5">
        <v>6</v>
      </c>
      <c r="F423" s="7">
        <f>SUM(E$5:$E423)</f>
        <v>4135</v>
      </c>
      <c r="G423" s="7">
        <f>SUM($E$366:E423)</f>
        <v>534</v>
      </c>
    </row>
    <row r="424" spans="1:7" ht="12.75">
      <c r="A424" s="2">
        <v>421</v>
      </c>
      <c r="B424" s="6">
        <f>DATE(98,8,24)</f>
        <v>36031</v>
      </c>
      <c r="C424" s="1" t="s">
        <v>15</v>
      </c>
      <c r="D424" s="2" t="s">
        <v>413</v>
      </c>
      <c r="E424" s="5">
        <v>4</v>
      </c>
      <c r="F424" s="7">
        <f>SUM(E$5:$E424)</f>
        <v>4139</v>
      </c>
      <c r="G424" s="7">
        <f>SUM($E$366:E424)</f>
        <v>538</v>
      </c>
    </row>
    <row r="425" spans="1:7" ht="12.75">
      <c r="A425" s="2">
        <v>422</v>
      </c>
      <c r="B425" s="6">
        <f>DATE(98,8,26)</f>
        <v>36033</v>
      </c>
      <c r="C425" s="1" t="s">
        <v>15</v>
      </c>
      <c r="D425" s="2" t="s">
        <v>148</v>
      </c>
      <c r="E425" s="5">
        <v>11</v>
      </c>
      <c r="F425" s="7">
        <f>SUM(E$5:$E425)</f>
        <v>4150</v>
      </c>
      <c r="G425" s="7">
        <f>SUM($E$366:E425)</f>
        <v>549</v>
      </c>
    </row>
    <row r="426" spans="1:7" ht="12.75">
      <c r="A426" s="2">
        <v>423</v>
      </c>
      <c r="B426" s="6">
        <f>DATE(98,8,29)</f>
        <v>36036</v>
      </c>
      <c r="C426" s="1" t="s">
        <v>39</v>
      </c>
      <c r="D426" s="2" t="s">
        <v>16</v>
      </c>
      <c r="E426" s="5">
        <v>7</v>
      </c>
      <c r="F426" s="7">
        <f>SUM(E$5:$E426)</f>
        <v>4157</v>
      </c>
      <c r="G426" s="7">
        <f>SUM($E$366:E426)</f>
        <v>556</v>
      </c>
    </row>
    <row r="427" spans="1:7" ht="12.75">
      <c r="A427" s="2">
        <v>424</v>
      </c>
      <c r="B427" s="6">
        <f>DATE(98,8,30)</f>
        <v>36037</v>
      </c>
      <c r="C427" s="1" t="s">
        <v>17</v>
      </c>
      <c r="D427" s="2" t="s">
        <v>271</v>
      </c>
      <c r="E427" s="5">
        <v>12</v>
      </c>
      <c r="F427" s="7">
        <f>SUM(E$5:$E427)</f>
        <v>4169</v>
      </c>
      <c r="G427" s="7">
        <f>SUM($E$366:E427)</f>
        <v>568</v>
      </c>
    </row>
    <row r="428" spans="1:7" ht="12.75">
      <c r="A428" s="2">
        <v>425</v>
      </c>
      <c r="B428" s="6">
        <f>DATE(98,9,1)</f>
        <v>36039</v>
      </c>
      <c r="C428" s="1" t="s">
        <v>39</v>
      </c>
      <c r="D428" s="2" t="s">
        <v>393</v>
      </c>
      <c r="E428" s="5">
        <v>13</v>
      </c>
      <c r="F428" s="7">
        <f>SUM(E$5:$E428)</f>
        <v>4182</v>
      </c>
      <c r="G428" s="7">
        <f>SUM($E$366:E428)</f>
        <v>581</v>
      </c>
    </row>
    <row r="429" spans="1:7" ht="12.75">
      <c r="A429" s="2">
        <v>426</v>
      </c>
      <c r="B429" s="6">
        <f>DATE(98,9,5)</f>
        <v>36043</v>
      </c>
      <c r="C429" s="1" t="s">
        <v>219</v>
      </c>
      <c r="D429" s="2" t="s">
        <v>417</v>
      </c>
      <c r="E429" s="5">
        <v>10</v>
      </c>
      <c r="F429" s="7">
        <f>SUM(E$5:$E429)</f>
        <v>4192</v>
      </c>
      <c r="G429" s="7">
        <f>SUM($E$366:E429)</f>
        <v>591</v>
      </c>
    </row>
    <row r="430" spans="1:7" ht="12.75">
      <c r="A430" s="2">
        <v>427</v>
      </c>
      <c r="B430" s="6">
        <f>DATE(98,9,6)</f>
        <v>36044</v>
      </c>
      <c r="C430" s="1" t="s">
        <v>219</v>
      </c>
      <c r="D430" s="2" t="s">
        <v>382</v>
      </c>
      <c r="E430" s="5">
        <v>7</v>
      </c>
      <c r="F430" s="7">
        <f>SUM(E$5:$E430)</f>
        <v>4199</v>
      </c>
      <c r="G430" s="7">
        <f>SUM($E$366:E430)</f>
        <v>598</v>
      </c>
    </row>
    <row r="431" spans="1:7" ht="12.75">
      <c r="A431" s="2">
        <v>428</v>
      </c>
      <c r="B431" s="6">
        <f>DATE(98,9,13)</f>
        <v>36051</v>
      </c>
      <c r="C431" s="1" t="s">
        <v>39</v>
      </c>
      <c r="D431" s="2" t="s">
        <v>418</v>
      </c>
      <c r="E431" s="5">
        <v>13</v>
      </c>
      <c r="F431" s="7">
        <f>SUM(E$5:$E431)</f>
        <v>4212</v>
      </c>
      <c r="G431" s="7">
        <f>SUM($E$366:E431)</f>
        <v>611</v>
      </c>
    </row>
    <row r="432" spans="1:7" ht="12.75">
      <c r="A432" s="2">
        <v>429</v>
      </c>
      <c r="B432" s="6">
        <f>DATE(98,9,20)</f>
        <v>36058</v>
      </c>
      <c r="C432" s="1" t="s">
        <v>17</v>
      </c>
      <c r="D432" s="2" t="s">
        <v>380</v>
      </c>
      <c r="E432" s="5">
        <v>12</v>
      </c>
      <c r="F432" s="7">
        <f>SUM(E$5:$E432)</f>
        <v>4224</v>
      </c>
      <c r="G432" s="7">
        <f>SUM($E$366:E432)</f>
        <v>623</v>
      </c>
    </row>
    <row r="433" spans="1:7" ht="12.75">
      <c r="A433" s="2">
        <v>430</v>
      </c>
      <c r="B433" s="6">
        <f>DATE(98,9,26)</f>
        <v>36064</v>
      </c>
      <c r="C433" s="1" t="s">
        <v>116</v>
      </c>
      <c r="D433" s="2" t="s">
        <v>419</v>
      </c>
      <c r="E433" s="5">
        <v>14</v>
      </c>
      <c r="F433" s="7">
        <f>SUM(E$5:$E433)</f>
        <v>4238</v>
      </c>
      <c r="G433" s="7">
        <f>SUM($E$366:E433)</f>
        <v>637</v>
      </c>
    </row>
    <row r="434" spans="1:7" ht="12.75">
      <c r="A434" s="2">
        <v>431</v>
      </c>
      <c r="B434" s="6">
        <f>DATE(98,9,27)</f>
        <v>36065</v>
      </c>
      <c r="C434" s="1" t="s">
        <v>39</v>
      </c>
      <c r="D434" s="2" t="s">
        <v>420</v>
      </c>
      <c r="E434" s="5">
        <v>9</v>
      </c>
      <c r="F434" s="7">
        <f>SUM(E$5:$E434)</f>
        <v>4247</v>
      </c>
      <c r="G434" s="7">
        <f>SUM($E$366:E434)</f>
        <v>646</v>
      </c>
    </row>
    <row r="435" spans="1:7" ht="12.75">
      <c r="A435" s="2">
        <v>432</v>
      </c>
      <c r="B435" s="6">
        <f>DATE(98,10,4)</f>
        <v>36072</v>
      </c>
      <c r="C435" s="1" t="s">
        <v>17</v>
      </c>
      <c r="D435" s="2" t="s">
        <v>381</v>
      </c>
      <c r="E435" s="5">
        <v>10</v>
      </c>
      <c r="F435" s="7">
        <f>SUM(E$5:$E435)</f>
        <v>4257</v>
      </c>
      <c r="G435" s="7">
        <f>SUM($E$366:E435)</f>
        <v>656</v>
      </c>
    </row>
    <row r="436" spans="1:7" ht="12.75">
      <c r="A436" s="2">
        <v>433</v>
      </c>
      <c r="B436" s="6">
        <f>DATE(98,10,10)</f>
        <v>36078</v>
      </c>
      <c r="C436" s="1" t="s">
        <v>17</v>
      </c>
      <c r="D436" s="2" t="s">
        <v>418</v>
      </c>
      <c r="E436" s="5">
        <v>13</v>
      </c>
      <c r="F436" s="7">
        <f>SUM(E$5:$E436)</f>
        <v>4270</v>
      </c>
      <c r="G436" s="7">
        <f>SUM($E$366:E436)</f>
        <v>669</v>
      </c>
    </row>
    <row r="437" spans="1:7" ht="12.75">
      <c r="A437" s="2">
        <v>434</v>
      </c>
      <c r="B437" s="6">
        <f>DATE(98,10,11)</f>
        <v>36079</v>
      </c>
      <c r="C437" s="1" t="s">
        <v>17</v>
      </c>
      <c r="D437" s="2" t="s">
        <v>416</v>
      </c>
      <c r="E437" s="5">
        <v>9</v>
      </c>
      <c r="F437" s="7">
        <f>SUM(E$5:$E437)</f>
        <v>4279</v>
      </c>
      <c r="G437" s="7">
        <f>SUM($E$366:E437)</f>
        <v>678</v>
      </c>
    </row>
    <row r="438" spans="1:7" ht="12.75">
      <c r="A438" s="2">
        <v>435</v>
      </c>
      <c r="B438" s="6">
        <f>DATE(98,10,18)</f>
        <v>36086</v>
      </c>
      <c r="C438" s="1" t="s">
        <v>17</v>
      </c>
      <c r="D438" s="2" t="s">
        <v>383</v>
      </c>
      <c r="E438" s="5">
        <v>11</v>
      </c>
      <c r="F438" s="7">
        <f>SUM(E$5:$E438)</f>
        <v>4290</v>
      </c>
      <c r="G438" s="7">
        <f>SUM($E$366:E438)</f>
        <v>689</v>
      </c>
    </row>
    <row r="439" spans="1:7" ht="12.75">
      <c r="A439" s="2">
        <v>436</v>
      </c>
      <c r="B439" s="6">
        <f>DATE(98,10,30)</f>
        <v>36098</v>
      </c>
      <c r="C439" s="1" t="s">
        <v>306</v>
      </c>
      <c r="D439" s="2" t="s">
        <v>435</v>
      </c>
      <c r="E439" s="5">
        <v>7</v>
      </c>
      <c r="F439" s="7">
        <f>SUM(E$5:$E439)</f>
        <v>4297</v>
      </c>
      <c r="G439" s="7">
        <f>SUM($E$366:E439)</f>
        <v>696</v>
      </c>
    </row>
    <row r="440" spans="1:7" ht="12.75">
      <c r="A440" s="2">
        <v>437</v>
      </c>
      <c r="B440" s="6">
        <f>DATE(98,10,31)</f>
        <v>36099</v>
      </c>
      <c r="C440" s="1" t="s">
        <v>306</v>
      </c>
      <c r="D440" s="2" t="s">
        <v>422</v>
      </c>
      <c r="E440" s="5">
        <v>12</v>
      </c>
      <c r="F440" s="7">
        <f>SUM(E$5:$E440)</f>
        <v>4309</v>
      </c>
      <c r="G440" s="7">
        <f>SUM($E$366:E440)</f>
        <v>708</v>
      </c>
    </row>
    <row r="441" spans="1:7" ht="12.75">
      <c r="A441" s="2">
        <v>438</v>
      </c>
      <c r="B441" s="6">
        <f>DATE(98,11,1)</f>
        <v>36100</v>
      </c>
      <c r="C441" s="1" t="s">
        <v>306</v>
      </c>
      <c r="D441" s="2" t="s">
        <v>423</v>
      </c>
      <c r="E441" s="5">
        <v>8</v>
      </c>
      <c r="F441" s="7">
        <f>SUM(E$5:$E441)</f>
        <v>4317</v>
      </c>
      <c r="G441" s="7">
        <f>SUM($E$366:E441)</f>
        <v>716</v>
      </c>
    </row>
    <row r="442" spans="1:7" ht="12.75">
      <c r="A442" s="2">
        <v>439</v>
      </c>
      <c r="B442" s="6">
        <f>DATE(98,11,8)</f>
        <v>36107</v>
      </c>
      <c r="C442" s="1" t="s">
        <v>219</v>
      </c>
      <c r="D442" s="2" t="s">
        <v>424</v>
      </c>
      <c r="E442" s="5">
        <v>11</v>
      </c>
      <c r="F442" s="7">
        <f>SUM(E$5:$E442)</f>
        <v>4328</v>
      </c>
      <c r="G442" s="7">
        <f>SUM($E$366:E442)</f>
        <v>727</v>
      </c>
    </row>
    <row r="443" spans="1:7" ht="12.75">
      <c r="A443" s="2">
        <v>440</v>
      </c>
      <c r="B443" s="6">
        <f>DATE(98,11,15)</f>
        <v>36114</v>
      </c>
      <c r="C443" s="1" t="s">
        <v>17</v>
      </c>
      <c r="D443" s="2" t="s">
        <v>384</v>
      </c>
      <c r="E443" s="5">
        <v>10</v>
      </c>
      <c r="F443" s="7">
        <f>SUM(E$5:$E443)</f>
        <v>4338</v>
      </c>
      <c r="G443" s="7">
        <f>SUM($E$366:E443)</f>
        <v>737</v>
      </c>
    </row>
    <row r="444" spans="1:7" ht="12.75">
      <c r="A444" s="2">
        <v>441</v>
      </c>
      <c r="B444" s="6">
        <f>DATE(98,11,28)</f>
        <v>36127</v>
      </c>
      <c r="C444" s="1" t="s">
        <v>116</v>
      </c>
      <c r="D444" s="2" t="s">
        <v>437</v>
      </c>
      <c r="E444" s="5">
        <v>13</v>
      </c>
      <c r="F444" s="7">
        <f>SUM(E$5:$E444)</f>
        <v>4351</v>
      </c>
      <c r="G444" s="7">
        <f>SUM($E$366:E444)</f>
        <v>750</v>
      </c>
    </row>
    <row r="445" spans="1:7" ht="12.75">
      <c r="A445" s="2">
        <v>442</v>
      </c>
      <c r="B445" s="6">
        <f>DATE(98,11,29)</f>
        <v>36128</v>
      </c>
      <c r="C445" s="1" t="s">
        <v>17</v>
      </c>
      <c r="D445" s="2" t="s">
        <v>385</v>
      </c>
      <c r="E445" s="5">
        <v>11</v>
      </c>
      <c r="F445" s="7">
        <f>SUM(E$5:$E445)</f>
        <v>4362</v>
      </c>
      <c r="G445" s="7">
        <f>SUM($E$366:E445)</f>
        <v>761</v>
      </c>
    </row>
    <row r="446" spans="1:7" ht="12.75">
      <c r="A446" s="2">
        <v>443</v>
      </c>
      <c r="B446" s="6">
        <f>DATE(98,12,6)</f>
        <v>36135</v>
      </c>
      <c r="C446" s="1" t="s">
        <v>17</v>
      </c>
      <c r="D446" s="2" t="s">
        <v>386</v>
      </c>
      <c r="E446" s="5">
        <v>6</v>
      </c>
      <c r="F446" s="7">
        <f>SUM(E$5:$E446)</f>
        <v>4368</v>
      </c>
      <c r="G446" s="7">
        <f>SUM($E$366:E446)</f>
        <v>767</v>
      </c>
    </row>
    <row r="447" spans="1:7" ht="12.75">
      <c r="A447" s="2">
        <v>444</v>
      </c>
      <c r="B447" s="6">
        <f>DATE(98,12,13)</f>
        <v>36142</v>
      </c>
      <c r="C447" s="1" t="s">
        <v>17</v>
      </c>
      <c r="D447" s="2" t="s">
        <v>387</v>
      </c>
      <c r="E447" s="5">
        <v>11</v>
      </c>
      <c r="F447" s="7">
        <f>SUM(E$5:$E447)</f>
        <v>4379</v>
      </c>
      <c r="G447" s="7">
        <f>SUM($E$366:E447)</f>
        <v>778</v>
      </c>
    </row>
    <row r="448" spans="1:7" ht="12.75">
      <c r="A448" s="2">
        <v>445</v>
      </c>
      <c r="B448" s="6">
        <f>DATE(98,12,26)</f>
        <v>36155</v>
      </c>
      <c r="C448" s="1" t="s">
        <v>17</v>
      </c>
      <c r="D448" s="2" t="s">
        <v>16</v>
      </c>
      <c r="E448" s="5">
        <v>8</v>
      </c>
      <c r="F448" s="7">
        <f>SUM(E$5:$E448)</f>
        <v>4387</v>
      </c>
      <c r="G448" s="7">
        <f>SUM($E$366:E448)</f>
        <v>786</v>
      </c>
    </row>
    <row r="449" spans="1:7" ht="12.75">
      <c r="A449" s="2">
        <v>446</v>
      </c>
      <c r="B449" s="6">
        <f>DATE(99,1,1)</f>
        <v>36161</v>
      </c>
      <c r="C449" s="1" t="s">
        <v>219</v>
      </c>
      <c r="D449" s="2" t="s">
        <v>439</v>
      </c>
      <c r="E449" s="5">
        <v>4</v>
      </c>
      <c r="F449" s="7">
        <f>SUM(E$5:$E449)</f>
        <v>4391</v>
      </c>
      <c r="G449" s="7">
        <f>SUM($E$449:E449)</f>
        <v>4</v>
      </c>
    </row>
    <row r="450" spans="1:7" ht="12.75">
      <c r="A450" s="2">
        <v>447</v>
      </c>
      <c r="B450" s="6">
        <f>DATE(99,1,2)</f>
        <v>36162</v>
      </c>
      <c r="C450" s="1" t="s">
        <v>39</v>
      </c>
      <c r="D450" s="2" t="s">
        <v>438</v>
      </c>
      <c r="E450" s="5">
        <v>11</v>
      </c>
      <c r="F450" s="7">
        <f>SUM(E$5:$E450)</f>
        <v>4402</v>
      </c>
      <c r="G450" s="7">
        <f>SUM($E$449:E450)</f>
        <v>15</v>
      </c>
    </row>
    <row r="451" spans="1:7" ht="12.75">
      <c r="A451" s="2">
        <v>448</v>
      </c>
      <c r="B451" s="6">
        <f>DATE(99,1,3)</f>
        <v>36163</v>
      </c>
      <c r="C451" s="1" t="s">
        <v>219</v>
      </c>
      <c r="D451" s="2" t="s">
        <v>440</v>
      </c>
      <c r="E451" s="5">
        <v>10</v>
      </c>
      <c r="F451" s="7">
        <f>SUM(E$5:$E451)</f>
        <v>4412</v>
      </c>
      <c r="G451" s="7">
        <f>SUM($E$449:E451)</f>
        <v>25</v>
      </c>
    </row>
    <row r="452" spans="1:7" ht="12.75">
      <c r="A452" s="2">
        <v>449</v>
      </c>
      <c r="B452" s="6">
        <f>DATE(99,1,10)</f>
        <v>36170</v>
      </c>
      <c r="C452" s="1" t="s">
        <v>17</v>
      </c>
      <c r="D452" s="2" t="s">
        <v>425</v>
      </c>
      <c r="E452" s="5">
        <v>12</v>
      </c>
      <c r="F452" s="7">
        <f>SUM(E$5:$E452)</f>
        <v>4424</v>
      </c>
      <c r="G452" s="7">
        <f>SUM($E$449:E452)</f>
        <v>37</v>
      </c>
    </row>
    <row r="453" spans="1:7" ht="12.75">
      <c r="A453" s="2">
        <v>450</v>
      </c>
      <c r="B453" s="6">
        <f>DATE(99,1,16)</f>
        <v>36176</v>
      </c>
      <c r="C453" s="1" t="s">
        <v>39</v>
      </c>
      <c r="D453" s="2" t="s">
        <v>16</v>
      </c>
      <c r="E453" s="5">
        <v>6</v>
      </c>
      <c r="F453" s="7">
        <f>SUM(E$5:$E453)</f>
        <v>4430</v>
      </c>
      <c r="G453" s="7">
        <f>SUM($E$449:E453)</f>
        <v>43</v>
      </c>
    </row>
    <row r="454" spans="1:7" ht="12.75">
      <c r="A454" s="2">
        <v>451</v>
      </c>
      <c r="B454" s="6">
        <f>DATE(99,1,17)</f>
        <v>36177</v>
      </c>
      <c r="C454" s="1" t="s">
        <v>17</v>
      </c>
      <c r="D454" s="2" t="s">
        <v>18</v>
      </c>
      <c r="E454" s="5">
        <v>11</v>
      </c>
      <c r="F454" s="7">
        <f>SUM(E$5:$E454)</f>
        <v>4441</v>
      </c>
      <c r="G454" s="7">
        <f>SUM($E$449:E454)</f>
        <v>54</v>
      </c>
    </row>
    <row r="455" spans="1:7" ht="12.75">
      <c r="A455" s="2">
        <v>452</v>
      </c>
      <c r="B455" s="6">
        <f>DATE(99,1,24)</f>
        <v>36184</v>
      </c>
      <c r="C455" s="1" t="s">
        <v>17</v>
      </c>
      <c r="D455" s="2" t="s">
        <v>426</v>
      </c>
      <c r="E455" s="5">
        <v>9</v>
      </c>
      <c r="F455" s="7">
        <f>SUM(E$5:$E455)</f>
        <v>4450</v>
      </c>
      <c r="G455" s="7">
        <f>SUM($E$449:E455)</f>
        <v>63</v>
      </c>
    </row>
    <row r="456" spans="1:7" ht="12.75">
      <c r="A456" s="2">
        <v>453</v>
      </c>
      <c r="B456" s="6">
        <f>DATE(99,1,30)</f>
        <v>36190</v>
      </c>
      <c r="C456" s="1" t="s">
        <v>110</v>
      </c>
      <c r="D456" s="2" t="s">
        <v>441</v>
      </c>
      <c r="E456" s="5">
        <v>11</v>
      </c>
      <c r="F456" s="7">
        <f>SUM(E$5:$E456)</f>
        <v>4461</v>
      </c>
      <c r="G456" s="7">
        <f>SUM($E$449:E456)</f>
        <v>74</v>
      </c>
    </row>
    <row r="457" spans="1:7" ht="12.75">
      <c r="A457" s="2">
        <v>454</v>
      </c>
      <c r="B457" s="6">
        <f>DATE(99,1,31)</f>
        <v>36191</v>
      </c>
      <c r="C457" s="1" t="s">
        <v>17</v>
      </c>
      <c r="D457" s="2" t="s">
        <v>56</v>
      </c>
      <c r="E457" s="5">
        <v>5</v>
      </c>
      <c r="F457" s="7">
        <f>SUM(E$5:$E457)</f>
        <v>4466</v>
      </c>
      <c r="G457" s="7">
        <f>SUM($E$449:E457)</f>
        <v>79</v>
      </c>
    </row>
    <row r="458" spans="1:7" ht="12.75">
      <c r="A458" s="2">
        <v>455</v>
      </c>
      <c r="B458" s="6">
        <f>DATE(99,2,7)</f>
        <v>36198</v>
      </c>
      <c r="C458" s="1" t="s">
        <v>17</v>
      </c>
      <c r="D458" s="2" t="s">
        <v>427</v>
      </c>
      <c r="E458" s="5">
        <v>11</v>
      </c>
      <c r="F458" s="7">
        <f>SUM(E$5:$E458)</f>
        <v>4477</v>
      </c>
      <c r="G458" s="7">
        <f>SUM($E$449:E458)</f>
        <v>90</v>
      </c>
    </row>
    <row r="459" spans="1:7" ht="12.75">
      <c r="A459" s="2">
        <v>456</v>
      </c>
      <c r="B459" s="6">
        <f>DATE(99,2,14)</f>
        <v>36205</v>
      </c>
      <c r="C459" s="1" t="s">
        <v>219</v>
      </c>
      <c r="D459" s="2" t="s">
        <v>445</v>
      </c>
      <c r="E459" s="5">
        <v>10</v>
      </c>
      <c r="F459" s="7">
        <f>SUM(E$5:$E459)</f>
        <v>4487</v>
      </c>
      <c r="G459" s="7">
        <f>SUM($E$449:E459)</f>
        <v>100</v>
      </c>
    </row>
    <row r="460" spans="1:7" ht="12.75">
      <c r="A460" s="2">
        <v>457</v>
      </c>
      <c r="B460" s="6">
        <f>DATE(99,2,18)</f>
        <v>36209</v>
      </c>
      <c r="C460" s="1" t="s">
        <v>17</v>
      </c>
      <c r="D460" s="2" t="s">
        <v>442</v>
      </c>
      <c r="E460" s="5">
        <v>8</v>
      </c>
      <c r="F460" s="7">
        <f>SUM(E$5:$E460)</f>
        <v>4495</v>
      </c>
      <c r="G460" s="7">
        <f>SUM($E$449:E460)</f>
        <v>108</v>
      </c>
    </row>
    <row r="461" spans="1:7" ht="12.75">
      <c r="A461" s="2">
        <v>458</v>
      </c>
      <c r="B461" s="6">
        <f>DATE(99,2,21)</f>
        <v>36212</v>
      </c>
      <c r="C461" s="1" t="s">
        <v>17</v>
      </c>
      <c r="D461" s="2" t="s">
        <v>350</v>
      </c>
      <c r="E461" s="5">
        <v>10</v>
      </c>
      <c r="F461" s="7">
        <f>SUM(E$5:$E461)</f>
        <v>4505</v>
      </c>
      <c r="G461" s="7">
        <f>SUM($E$449:E461)</f>
        <v>118</v>
      </c>
    </row>
    <row r="462" spans="1:7" ht="12.75">
      <c r="A462" s="2">
        <v>459</v>
      </c>
      <c r="B462" s="6">
        <f>DATE(99,2,28)</f>
        <v>36219</v>
      </c>
      <c r="C462" s="1" t="s">
        <v>17</v>
      </c>
      <c r="D462" s="2" t="s">
        <v>267</v>
      </c>
      <c r="E462" s="5">
        <v>8</v>
      </c>
      <c r="F462" s="7">
        <f>SUM(E$5:$E462)</f>
        <v>4513</v>
      </c>
      <c r="G462" s="7">
        <f>SUM($E$449:E462)</f>
        <v>126</v>
      </c>
    </row>
    <row r="463" spans="1:7" ht="12.75">
      <c r="A463" s="2">
        <v>460</v>
      </c>
      <c r="B463" s="6">
        <f>DATE(99,3,7)</f>
        <v>36226</v>
      </c>
      <c r="C463" s="1" t="s">
        <v>17</v>
      </c>
      <c r="D463" s="2" t="s">
        <v>428</v>
      </c>
      <c r="E463" s="5">
        <v>5</v>
      </c>
      <c r="F463" s="7">
        <f>SUM(E$5:$E463)</f>
        <v>4518</v>
      </c>
      <c r="G463" s="7">
        <f>SUM($E$449:E463)</f>
        <v>131</v>
      </c>
    </row>
    <row r="464" spans="1:7" ht="12.75">
      <c r="A464" s="2">
        <v>461</v>
      </c>
      <c r="B464" s="6">
        <f>DATE(99,3,10)</f>
        <v>36229</v>
      </c>
      <c r="C464" s="1" t="s">
        <v>17</v>
      </c>
      <c r="D464" s="2" t="s">
        <v>446</v>
      </c>
      <c r="E464" s="5">
        <v>15</v>
      </c>
      <c r="F464" s="7">
        <f>SUM(E$5:$E464)</f>
        <v>4533</v>
      </c>
      <c r="G464" s="7">
        <f>SUM($E$449:E464)</f>
        <v>146</v>
      </c>
    </row>
    <row r="465" spans="1:7" ht="12.75">
      <c r="A465" s="2">
        <v>462</v>
      </c>
      <c r="B465" s="6">
        <f>DATE(99,3,11)</f>
        <v>36230</v>
      </c>
      <c r="C465" s="1" t="s">
        <v>17</v>
      </c>
      <c r="D465" s="2" t="s">
        <v>447</v>
      </c>
      <c r="E465" s="5">
        <v>13</v>
      </c>
      <c r="F465" s="7">
        <f>SUM(E$5:$E465)</f>
        <v>4546</v>
      </c>
      <c r="G465" s="7">
        <f>SUM($E$449:E465)</f>
        <v>159</v>
      </c>
    </row>
    <row r="466" spans="1:7" ht="12.75">
      <c r="A466" s="2">
        <v>463</v>
      </c>
      <c r="B466" s="6">
        <f>DATE(99,3,12)</f>
        <v>36231</v>
      </c>
      <c r="C466" s="1" t="s">
        <v>17</v>
      </c>
      <c r="D466" s="2" t="s">
        <v>448</v>
      </c>
      <c r="E466" s="5">
        <v>12</v>
      </c>
      <c r="F466" s="7">
        <f>SUM(E$5:$E466)</f>
        <v>4558</v>
      </c>
      <c r="G466" s="7">
        <f>SUM($E$449:E466)</f>
        <v>171</v>
      </c>
    </row>
    <row r="467" spans="1:7" ht="12.75">
      <c r="A467" s="2">
        <v>464</v>
      </c>
      <c r="B467" s="6">
        <f>DATE(99,3,28)</f>
        <v>36247</v>
      </c>
      <c r="C467" s="1" t="s">
        <v>219</v>
      </c>
      <c r="D467" s="2" t="s">
        <v>449</v>
      </c>
      <c r="E467" s="5">
        <v>11</v>
      </c>
      <c r="F467" s="7">
        <f>SUM(E$5:$E467)</f>
        <v>4569</v>
      </c>
      <c r="G467" s="7">
        <f>SUM($E$449:E467)</f>
        <v>182</v>
      </c>
    </row>
    <row r="468" spans="1:7" ht="12.75">
      <c r="A468" s="2">
        <v>465</v>
      </c>
      <c r="B468" s="6">
        <f>DATE(99,4,2)</f>
        <v>36252</v>
      </c>
      <c r="C468" s="1" t="s">
        <v>39</v>
      </c>
      <c r="D468" s="2" t="s">
        <v>450</v>
      </c>
      <c r="E468" s="5">
        <v>14</v>
      </c>
      <c r="F468" s="7">
        <f>SUM(E$5:$E468)</f>
        <v>4583</v>
      </c>
      <c r="G468" s="7">
        <f>SUM($E$449:E468)</f>
        <v>196</v>
      </c>
    </row>
    <row r="469" spans="1:7" ht="12.75">
      <c r="A469" s="2">
        <v>466</v>
      </c>
      <c r="B469" s="6">
        <f>DATE(99,4,4)</f>
        <v>36254</v>
      </c>
      <c r="C469" s="1" t="s">
        <v>17</v>
      </c>
      <c r="D469" s="2" t="s">
        <v>429</v>
      </c>
      <c r="E469" s="5">
        <v>13</v>
      </c>
      <c r="F469" s="7">
        <f>SUM(E$5:$E469)</f>
        <v>4596</v>
      </c>
      <c r="G469" s="7">
        <f>SUM($E$449:E469)</f>
        <v>209</v>
      </c>
    </row>
    <row r="470" spans="1:7" ht="12.75">
      <c r="A470" s="2">
        <v>467</v>
      </c>
      <c r="B470" s="6">
        <f>DATE(99,4,7)</f>
        <v>36257</v>
      </c>
      <c r="C470" s="1" t="s">
        <v>444</v>
      </c>
      <c r="D470" s="2" t="s">
        <v>451</v>
      </c>
      <c r="E470" s="5">
        <v>5</v>
      </c>
      <c r="F470" s="7">
        <f>SUM(E$5:$E470)</f>
        <v>4601</v>
      </c>
      <c r="G470" s="7">
        <f>SUM($E$449:E470)</f>
        <v>214</v>
      </c>
    </row>
    <row r="471" spans="1:7" ht="12.75">
      <c r="A471" s="2">
        <v>468</v>
      </c>
      <c r="B471" s="6">
        <f>DATE(99,4,8)</f>
        <v>36258</v>
      </c>
      <c r="C471" s="1" t="s">
        <v>444</v>
      </c>
      <c r="D471" s="2" t="s">
        <v>452</v>
      </c>
      <c r="E471" s="5">
        <v>8</v>
      </c>
      <c r="F471" s="7">
        <f>SUM(E$5:$E471)</f>
        <v>4609</v>
      </c>
      <c r="G471" s="7">
        <f>SUM($E$449:E471)</f>
        <v>222</v>
      </c>
    </row>
    <row r="472" spans="1:7" ht="12.75">
      <c r="A472" s="2">
        <v>469</v>
      </c>
      <c r="B472" s="6">
        <f>DATE(99,4,9)</f>
        <v>36259</v>
      </c>
      <c r="C472" s="1" t="s">
        <v>444</v>
      </c>
      <c r="D472" s="2" t="s">
        <v>453</v>
      </c>
      <c r="E472" s="5">
        <v>5</v>
      </c>
      <c r="F472" s="7">
        <f>SUM(E$5:$E472)</f>
        <v>4614</v>
      </c>
      <c r="G472" s="7">
        <f>SUM($E$449:E472)</f>
        <v>227</v>
      </c>
    </row>
    <row r="473" spans="1:7" ht="12.75">
      <c r="A473" s="2">
        <f aca="true" t="shared" si="0" ref="A473:A509">A472+1</f>
        <v>470</v>
      </c>
      <c r="B473" s="6">
        <f>DATE(99,4,9)</f>
        <v>36259</v>
      </c>
      <c r="C473" s="1" t="s">
        <v>444</v>
      </c>
      <c r="D473" s="2" t="s">
        <v>454</v>
      </c>
      <c r="E473" s="5">
        <v>5</v>
      </c>
      <c r="F473" s="7">
        <f>SUM(E$5:$E473)</f>
        <v>4619</v>
      </c>
      <c r="G473" s="7">
        <f>SUM($E$449:E473)</f>
        <v>232</v>
      </c>
    </row>
    <row r="474" spans="1:7" ht="12.75">
      <c r="A474" s="2">
        <f t="shared" si="0"/>
        <v>471</v>
      </c>
      <c r="B474" s="6">
        <f>DATE(99,4,11)</f>
        <v>36261</v>
      </c>
      <c r="C474" s="1" t="s">
        <v>17</v>
      </c>
      <c r="D474" s="2" t="s">
        <v>430</v>
      </c>
      <c r="E474" s="5">
        <v>6</v>
      </c>
      <c r="F474" s="7">
        <f>SUM(E$5:$E474)</f>
        <v>4625</v>
      </c>
      <c r="G474" s="7">
        <f>SUM($E$449:E474)</f>
        <v>238</v>
      </c>
    </row>
    <row r="475" spans="1:7" ht="12.75">
      <c r="A475" s="2">
        <f t="shared" si="0"/>
        <v>472</v>
      </c>
      <c r="B475" s="6">
        <f>DATE(99,4,18)</f>
        <v>36268</v>
      </c>
      <c r="C475" s="1" t="s">
        <v>17</v>
      </c>
      <c r="D475" s="2" t="s">
        <v>113</v>
      </c>
      <c r="E475" s="5">
        <v>10</v>
      </c>
      <c r="F475" s="7">
        <f>SUM(E$5:$E475)</f>
        <v>4635</v>
      </c>
      <c r="G475" s="7">
        <f>SUM($E$449:E475)</f>
        <v>248</v>
      </c>
    </row>
    <row r="476" spans="1:7" ht="12.75">
      <c r="A476" s="2">
        <f t="shared" si="0"/>
        <v>473</v>
      </c>
      <c r="B476" s="6">
        <f>DATE(99,4,24)</f>
        <v>36274</v>
      </c>
      <c r="C476" s="1" t="s">
        <v>39</v>
      </c>
      <c r="D476" s="2" t="s">
        <v>172</v>
      </c>
      <c r="E476" s="5">
        <v>15</v>
      </c>
      <c r="F476" s="7">
        <f>SUM(E$5:$E476)</f>
        <v>4650</v>
      </c>
      <c r="G476" s="7">
        <f>SUM($E$449:E476)</f>
        <v>263</v>
      </c>
    </row>
    <row r="477" spans="1:7" ht="12.75">
      <c r="A477" s="2">
        <f t="shared" si="0"/>
        <v>474</v>
      </c>
      <c r="B477" s="6">
        <f>DATE(99,4,25)</f>
        <v>36275</v>
      </c>
      <c r="C477" s="1" t="s">
        <v>17</v>
      </c>
      <c r="D477" s="2" t="s">
        <v>455</v>
      </c>
      <c r="E477" s="5">
        <v>6</v>
      </c>
      <c r="F477" s="7">
        <f>SUM(E$5:$E477)</f>
        <v>4656</v>
      </c>
      <c r="G477" s="7">
        <f>SUM($E$449:E477)</f>
        <v>269</v>
      </c>
    </row>
    <row r="478" spans="1:7" ht="12.75">
      <c r="A478" s="2">
        <f t="shared" si="0"/>
        <v>475</v>
      </c>
      <c r="B478" s="6">
        <f>DATE(99,5,2)</f>
        <v>36282</v>
      </c>
      <c r="C478" s="1" t="s">
        <v>17</v>
      </c>
      <c r="D478" s="2" t="s">
        <v>182</v>
      </c>
      <c r="E478" s="5">
        <v>10</v>
      </c>
      <c r="F478" s="7">
        <f>SUM(E$5:$E478)</f>
        <v>4666</v>
      </c>
      <c r="G478" s="7">
        <f>SUM($E$449:E478)</f>
        <v>279</v>
      </c>
    </row>
    <row r="479" spans="1:7" ht="12.75">
      <c r="A479" s="2">
        <f t="shared" si="0"/>
        <v>476</v>
      </c>
      <c r="B479" s="6">
        <f>DATE(99,5,9)</f>
        <v>36289</v>
      </c>
      <c r="C479" s="1" t="s">
        <v>17</v>
      </c>
      <c r="D479" s="2" t="s">
        <v>431</v>
      </c>
      <c r="E479" s="5">
        <v>7</v>
      </c>
      <c r="F479" s="7">
        <f>SUM(E$5:$E479)</f>
        <v>4673</v>
      </c>
      <c r="G479" s="7">
        <f>SUM($E$449:E479)</f>
        <v>286</v>
      </c>
    </row>
    <row r="480" spans="1:7" ht="12.75">
      <c r="A480" s="2">
        <f t="shared" si="0"/>
        <v>477</v>
      </c>
      <c r="B480" s="6">
        <f>DATE(99,5,10)</f>
        <v>36290</v>
      </c>
      <c r="C480" s="1" t="s">
        <v>39</v>
      </c>
      <c r="D480" s="2" t="s">
        <v>18</v>
      </c>
      <c r="E480" s="5">
        <v>6</v>
      </c>
      <c r="F480" s="7">
        <f>SUM(E$5:$E480)</f>
        <v>4679</v>
      </c>
      <c r="G480" s="7">
        <f>SUM($E$449:E480)</f>
        <v>292</v>
      </c>
    </row>
    <row r="481" spans="1:7" ht="12.75">
      <c r="A481" s="2">
        <f t="shared" si="0"/>
        <v>478</v>
      </c>
      <c r="B481" s="6">
        <f>DATE(99,5,11)</f>
        <v>36291</v>
      </c>
      <c r="C481" s="1" t="s">
        <v>39</v>
      </c>
      <c r="D481" s="2" t="s">
        <v>18</v>
      </c>
      <c r="E481" s="5">
        <v>7</v>
      </c>
      <c r="F481" s="7">
        <f>SUM(E$5:$E481)</f>
        <v>4686</v>
      </c>
      <c r="G481" s="7">
        <f>SUM($E$449:E481)</f>
        <v>299</v>
      </c>
    </row>
    <row r="482" spans="1:7" ht="12.75">
      <c r="A482" s="2">
        <f t="shared" si="0"/>
        <v>479</v>
      </c>
      <c r="B482" s="6">
        <f>DATE(99,5,13)</f>
        <v>36293</v>
      </c>
      <c r="C482" s="1" t="s">
        <v>39</v>
      </c>
      <c r="D482" s="2" t="s">
        <v>136</v>
      </c>
      <c r="E482" s="5">
        <v>7</v>
      </c>
      <c r="F482" s="7">
        <f>SUM(E$5:$E482)</f>
        <v>4693</v>
      </c>
      <c r="G482" s="7">
        <f>SUM($E$449:E482)</f>
        <v>306</v>
      </c>
    </row>
    <row r="483" spans="1:7" ht="12.75">
      <c r="A483" s="2">
        <f t="shared" si="0"/>
        <v>480</v>
      </c>
      <c r="B483" s="6">
        <f>DATE(99,5,14)</f>
        <v>36294</v>
      </c>
      <c r="C483" s="1" t="s">
        <v>39</v>
      </c>
      <c r="D483" s="2" t="s">
        <v>458</v>
      </c>
      <c r="E483" s="5">
        <v>5</v>
      </c>
      <c r="F483" s="7">
        <f>SUM(E$5:$E483)</f>
        <v>4698</v>
      </c>
      <c r="G483" s="7">
        <f>SUM($E$449:E483)</f>
        <v>311</v>
      </c>
    </row>
    <row r="484" spans="1:7" ht="12.75">
      <c r="A484" s="2">
        <f t="shared" si="0"/>
        <v>481</v>
      </c>
      <c r="B484" s="6">
        <f>DATE(99,5,16)</f>
        <v>36296</v>
      </c>
      <c r="C484" s="1" t="s">
        <v>17</v>
      </c>
      <c r="D484" s="2" t="s">
        <v>432</v>
      </c>
      <c r="E484" s="5">
        <v>10</v>
      </c>
      <c r="F484" s="7">
        <f>SUM(E$5:$E484)</f>
        <v>4708</v>
      </c>
      <c r="G484" s="7">
        <f>SUM($E$449:E484)</f>
        <v>321</v>
      </c>
    </row>
    <row r="485" spans="1:7" ht="12.75">
      <c r="A485" s="2">
        <f t="shared" si="0"/>
        <v>482</v>
      </c>
      <c r="B485" s="6">
        <f>DATE(99,5,22)</f>
        <v>36302</v>
      </c>
      <c r="C485" s="1" t="s">
        <v>39</v>
      </c>
      <c r="D485" s="2" t="s">
        <v>457</v>
      </c>
      <c r="E485" s="5">
        <v>16</v>
      </c>
      <c r="F485" s="7">
        <f>SUM(E$5:$E485)</f>
        <v>4724</v>
      </c>
      <c r="G485" s="7">
        <f>SUM($E$449:E485)</f>
        <v>337</v>
      </c>
    </row>
    <row r="486" spans="1:7" ht="12.75">
      <c r="A486" s="2">
        <f t="shared" si="0"/>
        <v>483</v>
      </c>
      <c r="B486" s="6">
        <f>DATE(99,5,23)</f>
        <v>36303</v>
      </c>
      <c r="C486" s="1" t="s">
        <v>444</v>
      </c>
      <c r="D486" s="2" t="s">
        <v>16</v>
      </c>
      <c r="E486" s="5">
        <v>4</v>
      </c>
      <c r="F486" s="7">
        <f>SUM(E$5:$E486)</f>
        <v>4728</v>
      </c>
      <c r="G486" s="7">
        <f>SUM($E$449:E486)</f>
        <v>341</v>
      </c>
    </row>
    <row r="487" spans="1:7" ht="12.75">
      <c r="A487" s="2">
        <f t="shared" si="0"/>
        <v>484</v>
      </c>
      <c r="B487" s="6">
        <f>DATE(99,5,31)</f>
        <v>36311</v>
      </c>
      <c r="C487" s="1" t="s">
        <v>459</v>
      </c>
      <c r="D487" s="2" t="s">
        <v>460</v>
      </c>
      <c r="E487" s="5">
        <v>2</v>
      </c>
      <c r="F487" s="7">
        <f>SUM(E$5:$E487)</f>
        <v>4730</v>
      </c>
      <c r="G487" s="7">
        <f>SUM($E$449:E487)</f>
        <v>343</v>
      </c>
    </row>
    <row r="488" spans="1:7" ht="12.75">
      <c r="A488" s="2">
        <f t="shared" si="0"/>
        <v>485</v>
      </c>
      <c r="B488" s="6">
        <f>DATE(99,6,3)</f>
        <v>36314</v>
      </c>
      <c r="C488" s="1" t="s">
        <v>116</v>
      </c>
      <c r="D488" s="2" t="s">
        <v>461</v>
      </c>
      <c r="E488" s="5">
        <v>7</v>
      </c>
      <c r="F488" s="7">
        <f>SUM(E$5:$E488)</f>
        <v>4737</v>
      </c>
      <c r="G488" s="7">
        <f>SUM($E$449:E488)</f>
        <v>350</v>
      </c>
    </row>
    <row r="489" spans="1:7" ht="12.75">
      <c r="A489" s="2">
        <f t="shared" si="0"/>
        <v>486</v>
      </c>
      <c r="B489" s="6">
        <f>DATE(99,6,4)</f>
        <v>36315</v>
      </c>
      <c r="C489" s="1" t="s">
        <v>116</v>
      </c>
      <c r="D489" s="2" t="s">
        <v>456</v>
      </c>
      <c r="E489" s="5">
        <v>15</v>
      </c>
      <c r="F489" s="7">
        <f>SUM(E$5:$E489)</f>
        <v>4752</v>
      </c>
      <c r="G489" s="7">
        <f>SUM($E$449:E489)</f>
        <v>365</v>
      </c>
    </row>
    <row r="490" spans="1:7" ht="12.75">
      <c r="A490" s="2">
        <f t="shared" si="0"/>
        <v>487</v>
      </c>
      <c r="B490" s="6">
        <f>DATE(99,6,5)</f>
        <v>36316</v>
      </c>
      <c r="C490" s="1" t="s">
        <v>116</v>
      </c>
      <c r="D490" s="2" t="s">
        <v>462</v>
      </c>
      <c r="E490" s="5">
        <v>11</v>
      </c>
      <c r="F490" s="7">
        <f>SUM(E$5:$E490)</f>
        <v>4763</v>
      </c>
      <c r="G490" s="7">
        <f>SUM($E$449:E490)</f>
        <v>376</v>
      </c>
    </row>
    <row r="491" spans="1:7" ht="12.75">
      <c r="A491" s="2">
        <f t="shared" si="0"/>
        <v>488</v>
      </c>
      <c r="B491" s="6">
        <f>DATE(99,6,6)</f>
        <v>36317</v>
      </c>
      <c r="C491" s="1" t="s">
        <v>444</v>
      </c>
      <c r="D491" s="2" t="s">
        <v>16</v>
      </c>
      <c r="E491" s="5">
        <v>3</v>
      </c>
      <c r="F491" s="7">
        <f>SUM(E$5:$E491)</f>
        <v>4766</v>
      </c>
      <c r="G491" s="7">
        <f>SUM($E$449:E491)</f>
        <v>379</v>
      </c>
    </row>
    <row r="492" spans="1:7" ht="12.75">
      <c r="A492" s="2">
        <f t="shared" si="0"/>
        <v>489</v>
      </c>
      <c r="B492" s="6">
        <f>DATE(99,6,8)</f>
        <v>36319</v>
      </c>
      <c r="C492" s="1" t="s">
        <v>444</v>
      </c>
      <c r="D492" s="2" t="s">
        <v>18</v>
      </c>
      <c r="E492" s="5">
        <v>2</v>
      </c>
      <c r="F492" s="7">
        <f>SUM(E$5:$E492)</f>
        <v>4768</v>
      </c>
      <c r="G492" s="7">
        <f>SUM($E$449:E492)</f>
        <v>381</v>
      </c>
    </row>
    <row r="493" spans="1:7" ht="12.75">
      <c r="A493" s="2">
        <f t="shared" si="0"/>
        <v>490</v>
      </c>
      <c r="B493" s="6">
        <f>DATE(99,6,9)</f>
        <v>36320</v>
      </c>
      <c r="C493" s="1" t="s">
        <v>17</v>
      </c>
      <c r="D493" s="2" t="s">
        <v>433</v>
      </c>
      <c r="E493" s="5">
        <v>2</v>
      </c>
      <c r="F493" s="7">
        <f>SUM(E$5:$E493)</f>
        <v>4770</v>
      </c>
      <c r="G493" s="7">
        <f>SUM($E$449:E493)</f>
        <v>383</v>
      </c>
    </row>
    <row r="494" spans="1:7" ht="12.75">
      <c r="A494" s="2">
        <f t="shared" si="0"/>
        <v>491</v>
      </c>
      <c r="B494" s="6">
        <f>DATE(99,6,13)</f>
        <v>36324</v>
      </c>
      <c r="C494" s="1" t="s">
        <v>17</v>
      </c>
      <c r="D494" s="2" t="s">
        <v>434</v>
      </c>
      <c r="E494" s="5">
        <v>14</v>
      </c>
      <c r="F494" s="7">
        <f>SUM(E$5:$E494)</f>
        <v>4784</v>
      </c>
      <c r="G494" s="7">
        <f>SUM($E$449:E494)</f>
        <v>397</v>
      </c>
    </row>
    <row r="495" spans="1:7" ht="12.75">
      <c r="A495" s="2">
        <f t="shared" si="0"/>
        <v>492</v>
      </c>
      <c r="B495" s="6">
        <f>DATE(99,6,15)</f>
        <v>36326</v>
      </c>
      <c r="C495" s="1" t="s">
        <v>39</v>
      </c>
      <c r="D495" s="2" t="s">
        <v>18</v>
      </c>
      <c r="E495" s="5">
        <v>4</v>
      </c>
      <c r="F495" s="7">
        <f>SUM(E$5:$E495)</f>
        <v>4788</v>
      </c>
      <c r="G495" s="7">
        <f>SUM($E$449:E495)</f>
        <v>401</v>
      </c>
    </row>
    <row r="496" spans="1:7" ht="12.75">
      <c r="A496" s="2">
        <f t="shared" si="0"/>
        <v>493</v>
      </c>
      <c r="B496" s="6">
        <f>DATE(99,6,16)</f>
        <v>36327</v>
      </c>
      <c r="C496" s="1" t="s">
        <v>39</v>
      </c>
      <c r="D496" s="2" t="s">
        <v>18</v>
      </c>
      <c r="E496" s="5">
        <v>5</v>
      </c>
      <c r="F496" s="7">
        <f>SUM(E$5:$E496)</f>
        <v>4793</v>
      </c>
      <c r="G496" s="7">
        <f>SUM($E$449:E496)</f>
        <v>406</v>
      </c>
    </row>
    <row r="497" spans="1:7" ht="12.75">
      <c r="A497" s="2">
        <f t="shared" si="0"/>
        <v>494</v>
      </c>
      <c r="B497" s="6">
        <f>DATE(99,6,20)</f>
        <v>36331</v>
      </c>
      <c r="C497" s="1" t="s">
        <v>17</v>
      </c>
      <c r="D497" s="2" t="s">
        <v>436</v>
      </c>
      <c r="E497" s="5">
        <v>10</v>
      </c>
      <c r="F497" s="7">
        <f>SUM(E$5:$E497)</f>
        <v>4803</v>
      </c>
      <c r="G497" s="7">
        <f>SUM($E$449:E497)</f>
        <v>416</v>
      </c>
    </row>
    <row r="498" spans="1:7" ht="12.75">
      <c r="A498" s="2">
        <f t="shared" si="0"/>
        <v>495</v>
      </c>
      <c r="B498" s="6">
        <f>DATE(99,7,3)</f>
        <v>36344</v>
      </c>
      <c r="C498" s="1" t="s">
        <v>17</v>
      </c>
      <c r="D498" s="2" t="s">
        <v>469</v>
      </c>
      <c r="E498" s="5">
        <v>12</v>
      </c>
      <c r="F498" s="7">
        <f>SUM(E$5:$E498)</f>
        <v>4815</v>
      </c>
      <c r="G498" s="7">
        <f>SUM($E$449:E498)</f>
        <v>428</v>
      </c>
    </row>
    <row r="499" spans="1:7" ht="12.75">
      <c r="A499" s="2">
        <f t="shared" si="0"/>
        <v>496</v>
      </c>
      <c r="B499" s="6">
        <f>DATE(99,7,10)</f>
        <v>36351</v>
      </c>
      <c r="C499" s="1" t="s">
        <v>116</v>
      </c>
      <c r="D499" s="2" t="s">
        <v>443</v>
      </c>
      <c r="E499" s="5">
        <v>17</v>
      </c>
      <c r="F499" s="7">
        <f>SUM(E$5:$E499)</f>
        <v>4832</v>
      </c>
      <c r="G499" s="7">
        <f>SUM($E$449:E499)</f>
        <v>445</v>
      </c>
    </row>
    <row r="500" spans="1:7" ht="12.75">
      <c r="A500" s="2">
        <f t="shared" si="0"/>
        <v>497</v>
      </c>
      <c r="B500" s="6">
        <f>DATE(99,7,18)</f>
        <v>36359</v>
      </c>
      <c r="C500" s="1" t="s">
        <v>444</v>
      </c>
      <c r="D500" s="2" t="s">
        <v>16</v>
      </c>
      <c r="E500" s="5">
        <v>7</v>
      </c>
      <c r="F500" s="7">
        <f>SUM(E$5:$E500)</f>
        <v>4839</v>
      </c>
      <c r="G500" s="7">
        <f>SUM($E$449:E500)</f>
        <v>452</v>
      </c>
    </row>
    <row r="501" spans="1:7" ht="12.75">
      <c r="A501" s="2">
        <f t="shared" si="0"/>
        <v>498</v>
      </c>
      <c r="B501" s="6">
        <f>DATE(99,8,1)</f>
        <v>36373</v>
      </c>
      <c r="C501" s="1" t="s">
        <v>17</v>
      </c>
      <c r="D501" s="2" t="s">
        <v>130</v>
      </c>
      <c r="E501" s="2">
        <v>6</v>
      </c>
      <c r="F501" s="7">
        <f>SUM(E$5:$E501)</f>
        <v>4845</v>
      </c>
      <c r="G501" s="7">
        <f>SUM($E$449:E501)</f>
        <v>458</v>
      </c>
    </row>
    <row r="502" spans="1:7" ht="12.75">
      <c r="A502" s="2">
        <f t="shared" si="0"/>
        <v>499</v>
      </c>
      <c r="B502" s="6">
        <f>DATE(99,8,7)</f>
        <v>36379</v>
      </c>
      <c r="C502" s="1" t="s">
        <v>116</v>
      </c>
      <c r="D502" s="2" t="s">
        <v>470</v>
      </c>
      <c r="E502" s="2">
        <v>13</v>
      </c>
      <c r="F502" s="7">
        <f>SUM(E$5:$E502)</f>
        <v>4858</v>
      </c>
      <c r="G502" s="7">
        <f>SUM($E$449:E502)</f>
        <v>471</v>
      </c>
    </row>
    <row r="503" spans="1:7" ht="12.75">
      <c r="A503" s="2">
        <f t="shared" si="0"/>
        <v>500</v>
      </c>
      <c r="B503" s="6">
        <f>DATE(99,8,8)</f>
        <v>36380</v>
      </c>
      <c r="C503" s="1" t="s">
        <v>17</v>
      </c>
      <c r="D503" s="2" t="s">
        <v>463</v>
      </c>
      <c r="E503" s="2">
        <v>10</v>
      </c>
      <c r="F503" s="7">
        <f>SUM(E$5:$E503)</f>
        <v>4868</v>
      </c>
      <c r="G503" s="7">
        <f>SUM($E$449:E503)</f>
        <v>481</v>
      </c>
    </row>
    <row r="504" spans="1:7" ht="12.75">
      <c r="A504" s="2">
        <f t="shared" si="0"/>
        <v>501</v>
      </c>
      <c r="B504" s="6">
        <f>DATE(99,8,15)</f>
        <v>36387</v>
      </c>
      <c r="C504" s="1" t="s">
        <v>474</v>
      </c>
      <c r="D504" s="2" t="s">
        <v>471</v>
      </c>
      <c r="E504" s="2">
        <v>12</v>
      </c>
      <c r="F504" s="7">
        <f>SUM(E$5:$E504)</f>
        <v>4880</v>
      </c>
      <c r="G504" s="7">
        <f>SUM($E$449:E504)</f>
        <v>493</v>
      </c>
    </row>
    <row r="505" spans="1:7" ht="12.75">
      <c r="A505" s="2">
        <f t="shared" si="0"/>
        <v>502</v>
      </c>
      <c r="B505" s="6">
        <f>DATE(99,8,19)</f>
        <v>36391</v>
      </c>
      <c r="C505" s="1" t="s">
        <v>444</v>
      </c>
      <c r="D505" s="2" t="s">
        <v>476</v>
      </c>
      <c r="E505" s="2">
        <v>8</v>
      </c>
      <c r="F505" s="7">
        <f>SUM(E$5:$E505)</f>
        <v>4888</v>
      </c>
      <c r="G505" s="7">
        <f>SUM($E$449:E505)</f>
        <v>501</v>
      </c>
    </row>
    <row r="506" spans="1:7" ht="12.75">
      <c r="A506" s="2">
        <f t="shared" si="0"/>
        <v>503</v>
      </c>
      <c r="B506" s="6">
        <f>DATE(99,8,20)</f>
        <v>36392</v>
      </c>
      <c r="C506" s="1" t="s">
        <v>444</v>
      </c>
      <c r="D506" s="2" t="s">
        <v>477</v>
      </c>
      <c r="E506" s="2">
        <v>5</v>
      </c>
      <c r="F506" s="7">
        <f>SUM(E$5:$E506)</f>
        <v>4893</v>
      </c>
      <c r="G506" s="7">
        <f>SUM($E$449:E506)</f>
        <v>506</v>
      </c>
    </row>
    <row r="507" spans="1:7" ht="12.75">
      <c r="A507" s="2">
        <f t="shared" si="0"/>
        <v>504</v>
      </c>
      <c r="B507" s="6">
        <f>DATE(99,8,21)</f>
        <v>36393</v>
      </c>
      <c r="C507" s="1" t="s">
        <v>444</v>
      </c>
      <c r="D507" s="2" t="s">
        <v>478</v>
      </c>
      <c r="E507" s="2">
        <v>10</v>
      </c>
      <c r="F507" s="7">
        <f>SUM(E$5:$E507)</f>
        <v>4903</v>
      </c>
      <c r="G507" s="7">
        <f>SUM($E$449:E507)</f>
        <v>516</v>
      </c>
    </row>
    <row r="508" spans="1:7" ht="12.75">
      <c r="A508" s="2">
        <f t="shared" si="0"/>
        <v>505</v>
      </c>
      <c r="B508" s="6">
        <f>DATE(99,8,22)</f>
        <v>36394</v>
      </c>
      <c r="C508" s="1" t="s">
        <v>444</v>
      </c>
      <c r="D508" s="2" t="s">
        <v>479</v>
      </c>
      <c r="E508" s="2">
        <v>8</v>
      </c>
      <c r="F508" s="7">
        <f>SUM(E$5:$E508)</f>
        <v>4911</v>
      </c>
      <c r="G508" s="7">
        <f>SUM($E$449:E508)</f>
        <v>524</v>
      </c>
    </row>
    <row r="509" spans="1:7" ht="12.75">
      <c r="A509" s="2">
        <f t="shared" si="0"/>
        <v>506</v>
      </c>
      <c r="B509" s="6">
        <f>DATE(99,8,23)</f>
        <v>36395</v>
      </c>
      <c r="C509" s="1" t="s">
        <v>444</v>
      </c>
      <c r="D509" s="2" t="s">
        <v>493</v>
      </c>
      <c r="E509" s="2">
        <v>6</v>
      </c>
      <c r="F509" s="7">
        <f>SUM(E$5:$E509)</f>
        <v>4917</v>
      </c>
      <c r="G509" s="7">
        <f>SUM($E$449:E509)</f>
        <v>530</v>
      </c>
    </row>
    <row r="510" spans="1:7" ht="12.75">
      <c r="A510" s="2">
        <f>A504+1</f>
        <v>502</v>
      </c>
      <c r="B510" s="6">
        <f>DATE(99,8,26)</f>
        <v>36398</v>
      </c>
      <c r="C510" s="1" t="s">
        <v>39</v>
      </c>
      <c r="D510" s="2" t="s">
        <v>480</v>
      </c>
      <c r="E510" s="2">
        <v>5</v>
      </c>
      <c r="F510" s="7">
        <f>SUM(E$5:$E510)</f>
        <v>4922</v>
      </c>
      <c r="G510" s="7">
        <f>SUM($E$449:E510)</f>
        <v>535</v>
      </c>
    </row>
    <row r="511" spans="1:7" ht="12.75">
      <c r="A511" s="2">
        <f aca="true" t="shared" si="1" ref="A511:A532">A510+1</f>
        <v>503</v>
      </c>
      <c r="B511" s="6">
        <f>DATE(99,8,31)</f>
        <v>36403</v>
      </c>
      <c r="C511" s="1" t="s">
        <v>444</v>
      </c>
      <c r="D511" s="2" t="s">
        <v>481</v>
      </c>
      <c r="E511" s="2">
        <v>11</v>
      </c>
      <c r="F511" s="7">
        <f>SUM(E$5:$E511)</f>
        <v>4933</v>
      </c>
      <c r="G511" s="7">
        <f>SUM($E$449:E511)</f>
        <v>546</v>
      </c>
    </row>
    <row r="512" spans="1:7" ht="12.75">
      <c r="A512" s="2">
        <f t="shared" si="1"/>
        <v>504</v>
      </c>
      <c r="B512" s="6">
        <f>DATE(99,9,12)</f>
        <v>36415</v>
      </c>
      <c r="C512" s="1" t="s">
        <v>17</v>
      </c>
      <c r="D512" s="2" t="s">
        <v>464</v>
      </c>
      <c r="E512" s="2">
        <v>12</v>
      </c>
      <c r="F512" s="7">
        <f>SUM(E$5:$E512)</f>
        <v>4945</v>
      </c>
      <c r="G512" s="7">
        <f>SUM($E$449:E512)</f>
        <v>558</v>
      </c>
    </row>
    <row r="513" spans="1:7" ht="12.75">
      <c r="A513" s="2">
        <f t="shared" si="1"/>
        <v>505</v>
      </c>
      <c r="B513" s="6">
        <f>DATE(99,9,18)</f>
        <v>36421</v>
      </c>
      <c r="C513" s="1" t="s">
        <v>116</v>
      </c>
      <c r="D513" s="2" t="s">
        <v>475</v>
      </c>
      <c r="E513" s="2">
        <v>13</v>
      </c>
      <c r="F513" s="7">
        <f>SUM(E$5:$E513)</f>
        <v>4958</v>
      </c>
      <c r="G513" s="7">
        <f>SUM($E$449:E513)</f>
        <v>571</v>
      </c>
    </row>
    <row r="514" spans="1:7" ht="12.75">
      <c r="A514" s="2">
        <f t="shared" si="1"/>
        <v>506</v>
      </c>
      <c r="B514" s="6">
        <f>DATE(99,9,19)</f>
        <v>36422</v>
      </c>
      <c r="C514" s="1" t="s">
        <v>17</v>
      </c>
      <c r="D514" s="2" t="s">
        <v>465</v>
      </c>
      <c r="E514" s="2">
        <v>9</v>
      </c>
      <c r="F514" s="7">
        <f>SUM(E$5:$E514)</f>
        <v>4967</v>
      </c>
      <c r="G514" s="7">
        <f>SUM($E$449:E514)</f>
        <v>580</v>
      </c>
    </row>
    <row r="515" spans="1:7" ht="12.75">
      <c r="A515" s="2">
        <f t="shared" si="1"/>
        <v>507</v>
      </c>
      <c r="B515" s="6">
        <f>DATE(99,10,3)</f>
        <v>36436</v>
      </c>
      <c r="C515" s="1" t="s">
        <v>17</v>
      </c>
      <c r="D515" s="2" t="s">
        <v>439</v>
      </c>
      <c r="E515" s="2">
        <v>10</v>
      </c>
      <c r="F515" s="7">
        <f>SUM(E$5:$E515)</f>
        <v>4977</v>
      </c>
      <c r="G515" s="7">
        <f>SUM($E$449:E515)</f>
        <v>590</v>
      </c>
    </row>
    <row r="516" spans="1:7" ht="12.75">
      <c r="A516" s="2">
        <f t="shared" si="1"/>
        <v>508</v>
      </c>
      <c r="B516" s="6">
        <f>DATE(99,10,9)</f>
        <v>36442</v>
      </c>
      <c r="C516" s="1" t="s">
        <v>17</v>
      </c>
      <c r="D516" s="2" t="s">
        <v>485</v>
      </c>
      <c r="E516" s="2">
        <v>13</v>
      </c>
      <c r="F516" s="7">
        <f>SUM(E$5:$E516)</f>
        <v>4990</v>
      </c>
      <c r="G516" s="7">
        <f>SUM($E$449:E516)</f>
        <v>603</v>
      </c>
    </row>
    <row r="517" spans="1:7" ht="12.75">
      <c r="A517" s="2">
        <f t="shared" si="1"/>
        <v>509</v>
      </c>
      <c r="B517" s="6">
        <f>DATE(99,10,10)</f>
        <v>36443</v>
      </c>
      <c r="C517" s="1" t="s">
        <v>17</v>
      </c>
      <c r="D517" s="2" t="s">
        <v>486</v>
      </c>
      <c r="E517" s="2">
        <v>10</v>
      </c>
      <c r="F517" s="7">
        <f>SUM(E$5:$E517)</f>
        <v>5000</v>
      </c>
      <c r="G517" s="7">
        <f>SUM($E$449:E517)</f>
        <v>613</v>
      </c>
    </row>
    <row r="518" spans="1:7" ht="12.75">
      <c r="A518" s="2">
        <f t="shared" si="1"/>
        <v>510</v>
      </c>
      <c r="B518" s="6">
        <f>DATE(99,10,16)</f>
        <v>36449</v>
      </c>
      <c r="C518" s="1" t="s">
        <v>488</v>
      </c>
      <c r="D518" s="2" t="s">
        <v>472</v>
      </c>
      <c r="E518" s="2">
        <v>12</v>
      </c>
      <c r="F518" s="7">
        <f>SUM(E$5:$E518)</f>
        <v>5012</v>
      </c>
      <c r="G518" s="7">
        <f>SUM($E$449:E518)</f>
        <v>625</v>
      </c>
    </row>
    <row r="519" spans="1:7" ht="12.75">
      <c r="A519" s="2">
        <f t="shared" si="1"/>
        <v>511</v>
      </c>
      <c r="B519" s="6">
        <f>DATE(99,10,17)</f>
        <v>36450</v>
      </c>
      <c r="C519" s="1" t="s">
        <v>17</v>
      </c>
      <c r="D519" s="2" t="s">
        <v>473</v>
      </c>
      <c r="E519" s="2">
        <v>10</v>
      </c>
      <c r="F519" s="7">
        <f>SUM(E$5:$E519)</f>
        <v>5022</v>
      </c>
      <c r="G519" s="7">
        <f>SUM($E$449:E519)</f>
        <v>635</v>
      </c>
    </row>
    <row r="520" spans="1:7" ht="12.75">
      <c r="A520" s="2">
        <f t="shared" si="1"/>
        <v>512</v>
      </c>
      <c r="B520" s="6">
        <f>DATE(99,10,29)</f>
        <v>36462</v>
      </c>
      <c r="C520" s="1" t="s">
        <v>306</v>
      </c>
      <c r="D520" s="2" t="s">
        <v>482</v>
      </c>
      <c r="E520" s="2">
        <v>8</v>
      </c>
      <c r="F520" s="7">
        <f>SUM(E$5:$E520)</f>
        <v>5030</v>
      </c>
      <c r="G520" s="7">
        <f>SUM($E$449:E520)</f>
        <v>643</v>
      </c>
    </row>
    <row r="521" spans="1:7" ht="12.75">
      <c r="A521" s="2">
        <f t="shared" si="1"/>
        <v>513</v>
      </c>
      <c r="B521" s="6">
        <f>DATE(99,10,30)</f>
        <v>36463</v>
      </c>
      <c r="C521" s="1" t="s">
        <v>306</v>
      </c>
      <c r="D521" s="2" t="s">
        <v>483</v>
      </c>
      <c r="E521" s="2">
        <v>10</v>
      </c>
      <c r="F521" s="7">
        <f>SUM(E$5:$E521)</f>
        <v>5040</v>
      </c>
      <c r="G521" s="7">
        <f>SUM($E$449:E521)</f>
        <v>653</v>
      </c>
    </row>
    <row r="522" spans="1:7" ht="12.75">
      <c r="A522" s="2">
        <f t="shared" si="1"/>
        <v>514</v>
      </c>
      <c r="B522" s="6">
        <f>DATE(99,10,31)</f>
        <v>36464</v>
      </c>
      <c r="C522" s="1" t="s">
        <v>306</v>
      </c>
      <c r="D522" s="2" t="s">
        <v>484</v>
      </c>
      <c r="E522" s="2">
        <v>8</v>
      </c>
      <c r="F522" s="7">
        <f>SUM(E$5:$E522)</f>
        <v>5048</v>
      </c>
      <c r="G522" s="7">
        <f>SUM($E$449:E522)</f>
        <v>661</v>
      </c>
    </row>
    <row r="523" spans="1:7" ht="12.75">
      <c r="A523" s="2">
        <f t="shared" si="1"/>
        <v>515</v>
      </c>
      <c r="B523" s="6">
        <f>DATE(99,11,7)</f>
        <v>36471</v>
      </c>
      <c r="C523" s="1" t="s">
        <v>39</v>
      </c>
      <c r="D523" s="2" t="s">
        <v>487</v>
      </c>
      <c r="E523" s="2">
        <v>17</v>
      </c>
      <c r="F523" s="7">
        <f>SUM(E$5:$E523)</f>
        <v>5065</v>
      </c>
      <c r="G523" s="7">
        <f>SUM($E$449:E523)</f>
        <v>678</v>
      </c>
    </row>
    <row r="524" spans="1:7" ht="12.75">
      <c r="A524" s="2">
        <f t="shared" si="1"/>
        <v>516</v>
      </c>
      <c r="B524" s="6">
        <f>DATE(99,11,14)</f>
        <v>36478</v>
      </c>
      <c r="C524" s="1" t="s">
        <v>17</v>
      </c>
      <c r="D524" s="2" t="s">
        <v>466</v>
      </c>
      <c r="E524" s="2">
        <v>10</v>
      </c>
      <c r="F524" s="7">
        <f>SUM(E$5:$E524)</f>
        <v>5075</v>
      </c>
      <c r="G524" s="7">
        <f>SUM($E$449:E524)</f>
        <v>688</v>
      </c>
    </row>
    <row r="525" spans="1:7" ht="12.75">
      <c r="A525" s="2">
        <f t="shared" si="1"/>
        <v>517</v>
      </c>
      <c r="B525" s="6">
        <f>DATE(99,11,21)</f>
        <v>36485</v>
      </c>
      <c r="C525" s="1" t="s">
        <v>17</v>
      </c>
      <c r="D525" s="2" t="s">
        <v>467</v>
      </c>
      <c r="E525" s="2">
        <v>6</v>
      </c>
      <c r="F525" s="7">
        <f>SUM(E$5:$E525)</f>
        <v>5081</v>
      </c>
      <c r="G525" s="7">
        <f>SUM($E$449:E525)</f>
        <v>694</v>
      </c>
    </row>
    <row r="526" spans="1:7" ht="12.75">
      <c r="A526" s="2">
        <f t="shared" si="1"/>
        <v>518</v>
      </c>
      <c r="B526" s="6">
        <f>DATE(99,11,28)</f>
        <v>36492</v>
      </c>
      <c r="C526" s="1" t="s">
        <v>39</v>
      </c>
      <c r="D526" s="2" t="s">
        <v>489</v>
      </c>
      <c r="E526" s="2">
        <v>13</v>
      </c>
      <c r="F526" s="7">
        <f>SUM(E$5:$E526)</f>
        <v>5094</v>
      </c>
      <c r="G526" s="7">
        <f>SUM($E$449:E526)</f>
        <v>707</v>
      </c>
    </row>
    <row r="527" spans="1:7" ht="12.75">
      <c r="A527" s="2">
        <f t="shared" si="1"/>
        <v>519</v>
      </c>
      <c r="B527" s="6">
        <f>DATE(99,12,11)</f>
        <v>36505</v>
      </c>
      <c r="C527" s="1" t="s">
        <v>490</v>
      </c>
      <c r="D527" s="2" t="s">
        <v>491</v>
      </c>
      <c r="E527" s="2">
        <v>8</v>
      </c>
      <c r="F527" s="7">
        <f>SUM(E$5:$E527)</f>
        <v>5102</v>
      </c>
      <c r="G527" s="7">
        <f>SUM($E$449:E527)</f>
        <v>715</v>
      </c>
    </row>
    <row r="528" spans="1:7" ht="12.75">
      <c r="A528" s="2">
        <f t="shared" si="1"/>
        <v>520</v>
      </c>
      <c r="B528" s="6">
        <f>DATE(99,12,12)</f>
        <v>36506</v>
      </c>
      <c r="C528" s="1" t="s">
        <v>490</v>
      </c>
      <c r="D528" s="2" t="s">
        <v>492</v>
      </c>
      <c r="E528" s="2">
        <v>8</v>
      </c>
      <c r="F528" s="7">
        <f>SUM(E$5:$E528)</f>
        <v>5110</v>
      </c>
      <c r="G528" s="7">
        <f>SUM($E$449:E528)</f>
        <v>723</v>
      </c>
    </row>
    <row r="529" spans="1:7" ht="12.75">
      <c r="A529" s="2">
        <f t="shared" si="1"/>
        <v>521</v>
      </c>
      <c r="B529" s="6">
        <f>DATE(99,12,19)</f>
        <v>36513</v>
      </c>
      <c r="C529" s="1" t="s">
        <v>17</v>
      </c>
      <c r="D529" s="2" t="s">
        <v>468</v>
      </c>
      <c r="E529" s="2">
        <v>6</v>
      </c>
      <c r="F529" s="7">
        <f>SUM(E$5:$E529)</f>
        <v>5116</v>
      </c>
      <c r="G529" s="7">
        <f>SUM($E$449:E529)</f>
        <v>729</v>
      </c>
    </row>
    <row r="530" spans="1:7" ht="12.75">
      <c r="A530" s="2">
        <f t="shared" si="1"/>
        <v>522</v>
      </c>
      <c r="B530" s="6">
        <f>DATE(99,12,29)</f>
        <v>36523</v>
      </c>
      <c r="C530" s="1" t="s">
        <v>444</v>
      </c>
      <c r="D530" s="2" t="s">
        <v>16</v>
      </c>
      <c r="E530" s="2">
        <v>7</v>
      </c>
      <c r="F530" s="7">
        <f>SUM(E$5:$E530)</f>
        <v>5123</v>
      </c>
      <c r="G530" s="7">
        <f>SUM($E$449:E530)</f>
        <v>736</v>
      </c>
    </row>
    <row r="531" spans="1:7" ht="12.75">
      <c r="A531" s="2">
        <f t="shared" si="1"/>
        <v>523</v>
      </c>
      <c r="B531" s="6">
        <f>DATE(99,12,31)</f>
        <v>36525</v>
      </c>
      <c r="C531" s="1" t="s">
        <v>39</v>
      </c>
      <c r="D531" s="2" t="s">
        <v>494</v>
      </c>
      <c r="E531" s="2">
        <v>7</v>
      </c>
      <c r="F531" s="7">
        <f>SUM(E$5:$E531)</f>
        <v>5130</v>
      </c>
      <c r="G531" s="7">
        <f>SUM($E$449:E531)</f>
        <v>743</v>
      </c>
    </row>
    <row r="532" spans="1:7" ht="12.75">
      <c r="A532" s="2">
        <f t="shared" si="1"/>
        <v>524</v>
      </c>
      <c r="B532" s="6">
        <f>DATE(2000,1,2)</f>
        <v>36527</v>
      </c>
      <c r="C532" s="1" t="s">
        <v>17</v>
      </c>
      <c r="D532" s="2" t="s">
        <v>495</v>
      </c>
      <c r="E532" s="2">
        <v>12</v>
      </c>
      <c r="F532" s="7">
        <f>SUM(E$5:$E532)</f>
        <v>5142</v>
      </c>
      <c r="G532" s="7">
        <f>SUM($E$532:E532)</f>
        <v>12</v>
      </c>
    </row>
    <row r="533" spans="1:7" ht="12.75">
      <c r="A533" s="2">
        <f aca="true" t="shared" si="2" ref="A533:A541">A532+1</f>
        <v>525</v>
      </c>
      <c r="B533" s="6">
        <f>DATE(2000,1,9)</f>
        <v>36534</v>
      </c>
      <c r="C533" s="1" t="s">
        <v>490</v>
      </c>
      <c r="D533" s="2" t="s">
        <v>496</v>
      </c>
      <c r="E533" s="2">
        <v>12</v>
      </c>
      <c r="F533" s="7">
        <f>SUM(E$5:$E533)</f>
        <v>5154</v>
      </c>
      <c r="G533" s="7">
        <f>SUM($E$532:E533)</f>
        <v>24</v>
      </c>
    </row>
    <row r="534" spans="1:7" ht="12.75">
      <c r="A534" s="2">
        <f t="shared" si="2"/>
        <v>526</v>
      </c>
      <c r="B534" s="6">
        <f>DATE(2000,1,16)</f>
        <v>36541</v>
      </c>
      <c r="C534" s="1" t="s">
        <v>17</v>
      </c>
      <c r="D534" s="2" t="s">
        <v>16</v>
      </c>
      <c r="E534" s="2">
        <v>10</v>
      </c>
      <c r="F534" s="7">
        <f>SUM(E$5:$E534)</f>
        <v>5164</v>
      </c>
      <c r="G534" s="7">
        <f>SUM($E$532:E534)</f>
        <v>34</v>
      </c>
    </row>
    <row r="535" spans="1:7" ht="12.75">
      <c r="A535" s="2">
        <f t="shared" si="2"/>
        <v>527</v>
      </c>
      <c r="B535" s="6">
        <f>DATE(2000,1,23)</f>
        <v>36548</v>
      </c>
      <c r="C535" s="1" t="s">
        <v>444</v>
      </c>
      <c r="D535" s="2" t="s">
        <v>120</v>
      </c>
      <c r="E535" s="2">
        <v>10</v>
      </c>
      <c r="F535" s="7">
        <f>SUM(E$5:$E535)</f>
        <v>5174</v>
      </c>
      <c r="G535" s="7">
        <f>SUM($E$532:E535)</f>
        <v>44</v>
      </c>
    </row>
    <row r="536" spans="1:7" ht="12.75">
      <c r="A536" s="2">
        <f t="shared" si="2"/>
        <v>528</v>
      </c>
      <c r="B536" s="6">
        <f>DATE(2000,1,30)</f>
        <v>36555</v>
      </c>
      <c r="C536" s="1" t="s">
        <v>17</v>
      </c>
      <c r="D536" s="2" t="s">
        <v>497</v>
      </c>
      <c r="E536" s="2">
        <v>11</v>
      </c>
      <c r="F536" s="7">
        <f>SUM(E$5:$E536)</f>
        <v>5185</v>
      </c>
      <c r="G536" s="7">
        <f>SUM($E$532:E536)</f>
        <v>55</v>
      </c>
    </row>
    <row r="537" spans="1:7" ht="12.75">
      <c r="A537" s="2">
        <f t="shared" si="2"/>
        <v>529</v>
      </c>
      <c r="B537" s="6">
        <f>DATE(2000,2,5)</f>
        <v>36561</v>
      </c>
      <c r="C537" s="1" t="s">
        <v>110</v>
      </c>
      <c r="D537" s="2" t="s">
        <v>505</v>
      </c>
      <c r="E537" s="2">
        <v>10</v>
      </c>
      <c r="F537" s="7">
        <f>SUM(E$5:$E537)</f>
        <v>5195</v>
      </c>
      <c r="G537" s="7">
        <f>SUM($E$532:E537)</f>
        <v>65</v>
      </c>
    </row>
    <row r="538" spans="1:7" ht="12.75">
      <c r="A538" s="2">
        <f t="shared" si="2"/>
        <v>530</v>
      </c>
      <c r="B538" s="6">
        <f>DATE(2000,2,6)</f>
        <v>36562</v>
      </c>
      <c r="C538" s="1" t="s">
        <v>490</v>
      </c>
      <c r="D538" s="2" t="s">
        <v>506</v>
      </c>
      <c r="E538" s="2">
        <v>8</v>
      </c>
      <c r="F538" s="7">
        <f>SUM(E$5:$E538)</f>
        <v>5203</v>
      </c>
      <c r="G538" s="7">
        <f>SUM($E$532:E538)</f>
        <v>73</v>
      </c>
    </row>
    <row r="539" spans="1:7" ht="12.75">
      <c r="A539" s="2">
        <f t="shared" si="2"/>
        <v>531</v>
      </c>
      <c r="B539" s="6">
        <f>DATE(2000,2,13)</f>
        <v>36569</v>
      </c>
      <c r="C539" s="1" t="s">
        <v>17</v>
      </c>
      <c r="D539" s="2" t="s">
        <v>498</v>
      </c>
      <c r="E539" s="2">
        <v>10</v>
      </c>
      <c r="F539" s="7">
        <f>SUM(E$5:$E539)</f>
        <v>5213</v>
      </c>
      <c r="G539" s="7">
        <f>SUM($E$532:E539)</f>
        <v>83</v>
      </c>
    </row>
    <row r="540" spans="1:7" ht="12.75">
      <c r="A540" s="2">
        <f t="shared" si="2"/>
        <v>532</v>
      </c>
      <c r="B540" s="6">
        <f>DATE(2000,2,20)</f>
        <v>36576</v>
      </c>
      <c r="C540" s="1" t="s">
        <v>17</v>
      </c>
      <c r="D540" s="2" t="s">
        <v>130</v>
      </c>
      <c r="E540" s="2">
        <v>8</v>
      </c>
      <c r="F540" s="7">
        <f>SUM(E$5:$E540)</f>
        <v>5221</v>
      </c>
      <c r="G540" s="7">
        <f>SUM($E$532:E540)</f>
        <v>91</v>
      </c>
    </row>
    <row r="541" spans="1:7" ht="12.75">
      <c r="A541" s="2">
        <f t="shared" si="2"/>
        <v>533</v>
      </c>
      <c r="B541" s="6">
        <f>DATE(2000,2,22)</f>
        <v>36578</v>
      </c>
      <c r="C541" s="1" t="s">
        <v>444</v>
      </c>
      <c r="D541" s="2" t="s">
        <v>27</v>
      </c>
      <c r="E541" s="2">
        <v>7</v>
      </c>
      <c r="F541" s="7">
        <f>SUM(E$5:$E541)</f>
        <v>5228</v>
      </c>
      <c r="G541" s="7">
        <f>SUM($E$532:E541)</f>
        <v>98</v>
      </c>
    </row>
    <row r="542" spans="1:7" ht="12.75">
      <c r="A542" s="2">
        <f>A541+1</f>
        <v>534</v>
      </c>
      <c r="B542" s="6">
        <f>DATE(2000,2,26)</f>
        <v>36582</v>
      </c>
      <c r="C542" s="1" t="s">
        <v>444</v>
      </c>
      <c r="D542" s="2" t="s">
        <v>18</v>
      </c>
      <c r="E542" s="2">
        <v>6</v>
      </c>
      <c r="F542" s="7">
        <f>SUM(E$5:$E542)</f>
        <v>5234</v>
      </c>
      <c r="G542" s="7">
        <f>SUM($E$532:E542)</f>
        <v>104</v>
      </c>
    </row>
    <row r="543" spans="1:7" ht="12.75">
      <c r="A543" s="2">
        <f>A542+1</f>
        <v>535</v>
      </c>
      <c r="B543" s="6">
        <f>DATE(2000,2,27)</f>
        <v>36583</v>
      </c>
      <c r="C543" s="1" t="s">
        <v>490</v>
      </c>
      <c r="D543" s="2" t="s">
        <v>507</v>
      </c>
      <c r="E543" s="2">
        <v>10</v>
      </c>
      <c r="F543" s="7">
        <f>SUM(E$5:$E543)</f>
        <v>5244</v>
      </c>
      <c r="G543" s="7">
        <f>SUM($E$532:E543)</f>
        <v>114</v>
      </c>
    </row>
    <row r="544" spans="1:7" ht="12.75">
      <c r="A544" s="2">
        <f>A543+1</f>
        <v>536</v>
      </c>
      <c r="B544" s="6">
        <f>DATE(2000,3,12)</f>
        <v>36597</v>
      </c>
      <c r="C544" s="1" t="s">
        <v>17</v>
      </c>
      <c r="D544" s="2" t="s">
        <v>499</v>
      </c>
      <c r="E544" s="2">
        <v>10</v>
      </c>
      <c r="F544" s="7">
        <f>SUM(E$5:$E544)</f>
        <v>5254</v>
      </c>
      <c r="G544" s="7">
        <f>SUM($E$532:E544)</f>
        <v>124</v>
      </c>
    </row>
    <row r="545" spans="1:7" ht="12.75">
      <c r="A545" s="2">
        <f>A544+1</f>
        <v>537</v>
      </c>
      <c r="B545" s="6">
        <f>DATE(2000,3,18)</f>
        <v>36603</v>
      </c>
      <c r="C545" s="1" t="s">
        <v>15</v>
      </c>
      <c r="D545" s="2" t="s">
        <v>508</v>
      </c>
      <c r="E545" s="2">
        <v>12</v>
      </c>
      <c r="F545" s="7">
        <f>SUM(E$5:$E545)</f>
        <v>5266</v>
      </c>
      <c r="G545" s="7">
        <f>SUM($E$532:E545)</f>
        <v>136</v>
      </c>
    </row>
    <row r="546" spans="1:7" ht="12.75">
      <c r="A546" s="2">
        <f>A545+1</f>
        <v>538</v>
      </c>
      <c r="B546" s="6">
        <f>DATE(2000,3,19)</f>
        <v>36604</v>
      </c>
      <c r="C546" s="1" t="s">
        <v>17</v>
      </c>
      <c r="D546" s="2" t="s">
        <v>510</v>
      </c>
      <c r="E546" s="2">
        <v>5</v>
      </c>
      <c r="F546" s="7">
        <f>SUM(E$5:$E546)</f>
        <v>5271</v>
      </c>
      <c r="G546" s="7">
        <f>SUM($E$532:E546)</f>
        <v>141</v>
      </c>
    </row>
    <row r="547" spans="1:7" ht="12.75">
      <c r="A547" s="2">
        <f aca="true" t="shared" si="3" ref="A547:A588">A546+1</f>
        <v>539</v>
      </c>
      <c r="B547" s="6">
        <f>DATE(2000,3,26)</f>
        <v>36611</v>
      </c>
      <c r="C547" s="1" t="s">
        <v>444</v>
      </c>
      <c r="D547" s="2" t="s">
        <v>511</v>
      </c>
      <c r="E547" s="2">
        <v>3</v>
      </c>
      <c r="F547" s="7">
        <f>SUM(E$5:$E547)</f>
        <v>5274</v>
      </c>
      <c r="G547" s="7">
        <f>SUM($E$532:E547)</f>
        <v>144</v>
      </c>
    </row>
    <row r="548" spans="1:7" ht="12.75">
      <c r="A548" s="2">
        <f t="shared" si="3"/>
        <v>540</v>
      </c>
      <c r="B548" s="6">
        <f>DATE(2000,4,1)</f>
        <v>36617</v>
      </c>
      <c r="C548" s="1" t="s">
        <v>39</v>
      </c>
      <c r="D548" s="2" t="s">
        <v>512</v>
      </c>
      <c r="E548" s="2">
        <v>11</v>
      </c>
      <c r="F548" s="7">
        <f>SUM(E$5:$E548)</f>
        <v>5285</v>
      </c>
      <c r="G548" s="7">
        <f>SUM($E$532:E548)</f>
        <v>155</v>
      </c>
    </row>
    <row r="549" spans="1:7" ht="12.75">
      <c r="A549" s="2">
        <f t="shared" si="3"/>
        <v>541</v>
      </c>
      <c r="B549" s="6">
        <f>DATE(2000,4,2)</f>
        <v>36618</v>
      </c>
      <c r="C549" s="1" t="s">
        <v>306</v>
      </c>
      <c r="D549" s="2" t="s">
        <v>161</v>
      </c>
      <c r="E549" s="2">
        <v>13</v>
      </c>
      <c r="F549" s="7">
        <f>SUM(E$5:$E549)</f>
        <v>5298</v>
      </c>
      <c r="G549" s="7">
        <f>SUM($E$532:E549)</f>
        <v>168</v>
      </c>
    </row>
    <row r="550" spans="1:7" ht="12.75">
      <c r="A550" s="2">
        <f t="shared" si="3"/>
        <v>542</v>
      </c>
      <c r="B550" s="6">
        <f>DATE(2000,4,9)</f>
        <v>36625</v>
      </c>
      <c r="C550" s="1" t="s">
        <v>17</v>
      </c>
      <c r="D550" s="2" t="s">
        <v>500</v>
      </c>
      <c r="E550" s="2">
        <v>11</v>
      </c>
      <c r="F550" s="7">
        <f>SUM(E$5:$E550)</f>
        <v>5309</v>
      </c>
      <c r="G550" s="7">
        <f>SUM($E$532:E550)</f>
        <v>179</v>
      </c>
    </row>
    <row r="551" spans="1:7" ht="12.75">
      <c r="A551" s="2">
        <f t="shared" si="3"/>
        <v>543</v>
      </c>
      <c r="B551" s="6">
        <f>DATE(2000,4,18)</f>
        <v>36634</v>
      </c>
      <c r="C551" s="1" t="s">
        <v>444</v>
      </c>
      <c r="D551" s="2" t="s">
        <v>514</v>
      </c>
      <c r="E551" s="2">
        <v>7</v>
      </c>
      <c r="F551" s="7">
        <f>SUM(E$5:$E551)</f>
        <v>5316</v>
      </c>
      <c r="G551" s="7">
        <f>SUM($E$532:E551)</f>
        <v>186</v>
      </c>
    </row>
    <row r="552" spans="1:7" ht="12.75">
      <c r="A552" s="2">
        <f t="shared" si="3"/>
        <v>544</v>
      </c>
      <c r="B552" s="6">
        <f>DATE(2000,4,19)</f>
        <v>36635</v>
      </c>
      <c r="C552" s="1" t="s">
        <v>444</v>
      </c>
      <c r="D552" s="2" t="s">
        <v>515</v>
      </c>
      <c r="E552" s="2">
        <v>9</v>
      </c>
      <c r="F552" s="7">
        <f>SUM(E$5:$E552)</f>
        <v>5325</v>
      </c>
      <c r="G552" s="7">
        <f>SUM($E$532:E552)</f>
        <v>195</v>
      </c>
    </row>
    <row r="553" spans="1:7" ht="12.75">
      <c r="A553" s="2">
        <f t="shared" si="3"/>
        <v>545</v>
      </c>
      <c r="B553" s="6">
        <f>DATE(2000,4,20)</f>
        <v>36636</v>
      </c>
      <c r="C553" s="1" t="s">
        <v>444</v>
      </c>
      <c r="D553" s="2" t="s">
        <v>516</v>
      </c>
      <c r="E553" s="2">
        <v>8</v>
      </c>
      <c r="F553" s="7">
        <f>SUM(E$5:$E553)</f>
        <v>5333</v>
      </c>
      <c r="G553" s="7">
        <f>SUM($E$532:E553)</f>
        <v>203</v>
      </c>
    </row>
    <row r="554" spans="1:7" ht="12.75">
      <c r="A554" s="2">
        <f t="shared" si="3"/>
        <v>546</v>
      </c>
      <c r="B554" s="6">
        <f>DATE(2000,4,21)</f>
        <v>36637</v>
      </c>
      <c r="C554" s="1" t="s">
        <v>444</v>
      </c>
      <c r="D554" s="2" t="s">
        <v>517</v>
      </c>
      <c r="E554" s="2">
        <v>6</v>
      </c>
      <c r="F554" s="7">
        <f>SUM(E$5:$E554)</f>
        <v>5339</v>
      </c>
      <c r="G554" s="7">
        <f>SUM($E$532:E554)</f>
        <v>209</v>
      </c>
    </row>
    <row r="555" spans="1:7" ht="12.75">
      <c r="A555" s="2">
        <f t="shared" si="3"/>
        <v>547</v>
      </c>
      <c r="B555" s="6">
        <f>DATE(2000,4,22)</f>
        <v>36638</v>
      </c>
      <c r="C555" s="1" t="s">
        <v>444</v>
      </c>
      <c r="D555" s="2" t="s">
        <v>518</v>
      </c>
      <c r="E555" s="2">
        <v>3</v>
      </c>
      <c r="F555" s="7">
        <f>SUM(E$5:$E555)</f>
        <v>5342</v>
      </c>
      <c r="G555" s="7">
        <f>SUM($E$532:E555)</f>
        <v>212</v>
      </c>
    </row>
    <row r="556" spans="1:7" ht="12.75">
      <c r="A556" s="2">
        <f t="shared" si="3"/>
        <v>548</v>
      </c>
      <c r="B556" s="6">
        <f>DATE(2000,4,23)</f>
        <v>36639</v>
      </c>
      <c r="C556" s="1" t="s">
        <v>444</v>
      </c>
      <c r="D556" s="2" t="s">
        <v>519</v>
      </c>
      <c r="E556" s="2">
        <v>11</v>
      </c>
      <c r="F556" s="7">
        <f>SUM(E$5:$E556)</f>
        <v>5353</v>
      </c>
      <c r="G556" s="7">
        <f>SUM($E$532:E556)</f>
        <v>223</v>
      </c>
    </row>
    <row r="557" spans="1:7" ht="12.75">
      <c r="A557" s="2">
        <f t="shared" si="3"/>
        <v>549</v>
      </c>
      <c r="B557" s="6">
        <f>DATE(2000,4,30)</f>
        <v>36646</v>
      </c>
      <c r="C557" s="1" t="s">
        <v>444</v>
      </c>
      <c r="D557" s="2" t="s">
        <v>520</v>
      </c>
      <c r="E557" s="2">
        <v>7</v>
      </c>
      <c r="F557" s="7">
        <f>SUM(E$5:$E557)</f>
        <v>5360</v>
      </c>
      <c r="G557" s="7">
        <f>SUM($E$532:E557)</f>
        <v>230</v>
      </c>
    </row>
    <row r="558" spans="1:7" ht="12.75">
      <c r="A558" s="2">
        <f t="shared" si="3"/>
        <v>550</v>
      </c>
      <c r="B558" s="6">
        <f>DATE(2000,5,1)</f>
        <v>36647</v>
      </c>
      <c r="C558" s="1" t="s">
        <v>444</v>
      </c>
      <c r="D558" s="2" t="s">
        <v>513</v>
      </c>
      <c r="E558" s="2">
        <v>9</v>
      </c>
      <c r="F558" s="7">
        <f>SUM(E$5:$E558)</f>
        <v>5369</v>
      </c>
      <c r="G558" s="7">
        <f>SUM($E$532:E558)</f>
        <v>239</v>
      </c>
    </row>
    <row r="559" spans="1:7" ht="12.75">
      <c r="A559" s="2">
        <f t="shared" si="3"/>
        <v>551</v>
      </c>
      <c r="B559" s="6">
        <f>DATE(2000,5,6)</f>
        <v>36652</v>
      </c>
      <c r="C559" s="1" t="s">
        <v>39</v>
      </c>
      <c r="D559" s="2" t="s">
        <v>526</v>
      </c>
      <c r="E559" s="2">
        <v>14</v>
      </c>
      <c r="F559" s="7">
        <f>SUM(E$5:$E559)</f>
        <v>5383</v>
      </c>
      <c r="G559" s="7">
        <f>SUM($E$532:E559)</f>
        <v>253</v>
      </c>
    </row>
    <row r="560" spans="1:7" ht="12.75">
      <c r="A560" s="2">
        <f t="shared" si="3"/>
        <v>552</v>
      </c>
      <c r="B560" s="6">
        <f>DATE(2000,5,7)</f>
        <v>36653</v>
      </c>
      <c r="C560" s="1" t="s">
        <v>17</v>
      </c>
      <c r="D560" s="2" t="s">
        <v>192</v>
      </c>
      <c r="E560" s="2">
        <v>13</v>
      </c>
      <c r="F560" s="7">
        <f>SUM(E$5:$E560)</f>
        <v>5396</v>
      </c>
      <c r="G560" s="7">
        <f>SUM($E$532:E560)</f>
        <v>266</v>
      </c>
    </row>
    <row r="561" spans="1:7" ht="12.75">
      <c r="A561" s="2">
        <f t="shared" si="3"/>
        <v>553</v>
      </c>
      <c r="B561" s="6">
        <f>DATE(2000,5,13)</f>
        <v>36659</v>
      </c>
      <c r="C561" s="1" t="s">
        <v>39</v>
      </c>
      <c r="D561" s="2" t="s">
        <v>503</v>
      </c>
      <c r="E561" s="2">
        <v>13</v>
      </c>
      <c r="F561" s="7">
        <f>SUM(E$5:$E561)</f>
        <v>5409</v>
      </c>
      <c r="G561" s="7">
        <f>SUM($E$532:E561)</f>
        <v>279</v>
      </c>
    </row>
    <row r="562" spans="1:8" ht="12.75">
      <c r="A562" s="2">
        <f t="shared" si="3"/>
        <v>554</v>
      </c>
      <c r="B562" s="6">
        <f>DATE(2000,5,21)</f>
        <v>36667</v>
      </c>
      <c r="C562" s="1" t="s">
        <v>17</v>
      </c>
      <c r="D562" s="2" t="s">
        <v>501</v>
      </c>
      <c r="E562" s="2">
        <v>12</v>
      </c>
      <c r="F562" s="7">
        <f>SUM(E$5:$E562)</f>
        <v>5421</v>
      </c>
      <c r="G562" s="7">
        <f>SUM($E$532:E562)</f>
        <v>291</v>
      </c>
      <c r="H562" s="2">
        <f>SUM(E558:E562)</f>
        <v>61</v>
      </c>
    </row>
    <row r="563" spans="1:7" ht="12.75">
      <c r="A563" s="2">
        <f t="shared" si="3"/>
        <v>555</v>
      </c>
      <c r="B563" s="6">
        <f>DATE(2000,6,1)</f>
        <v>36678</v>
      </c>
      <c r="C563" s="1" t="s">
        <v>444</v>
      </c>
      <c r="D563" s="2" t="s">
        <v>522</v>
      </c>
      <c r="E563" s="2">
        <v>10</v>
      </c>
      <c r="F563" s="7">
        <f>SUM(E$5:$E563)</f>
        <v>5431</v>
      </c>
      <c r="G563" s="7">
        <f>SUM($E$532:E563)</f>
        <v>301</v>
      </c>
    </row>
    <row r="564" spans="1:7" ht="12.75">
      <c r="A564" s="2">
        <f t="shared" si="3"/>
        <v>556</v>
      </c>
      <c r="B564" s="6">
        <f>DATE(2000,6,2)</f>
        <v>36679</v>
      </c>
      <c r="C564" s="1" t="s">
        <v>524</v>
      </c>
      <c r="D564" s="2" t="s">
        <v>523</v>
      </c>
      <c r="E564" s="2">
        <v>15</v>
      </c>
      <c r="F564" s="7">
        <f>SUM(E$5:$E564)</f>
        <v>5446</v>
      </c>
      <c r="G564" s="7">
        <f>SUM($E$532:E564)</f>
        <v>316</v>
      </c>
    </row>
    <row r="565" spans="1:7" ht="12.75">
      <c r="A565" s="2">
        <f t="shared" si="3"/>
        <v>557</v>
      </c>
      <c r="B565" s="6">
        <f>DATE(2000,6,3)</f>
        <v>36680</v>
      </c>
      <c r="C565" s="1" t="s">
        <v>116</v>
      </c>
      <c r="D565" s="2" t="s">
        <v>525</v>
      </c>
      <c r="E565" s="2">
        <v>5</v>
      </c>
      <c r="F565" s="7">
        <f>SUM(E$5:$E565)</f>
        <v>5451</v>
      </c>
      <c r="G565" s="7">
        <f>SUM($E$532:E565)</f>
        <v>321</v>
      </c>
    </row>
    <row r="566" spans="1:7" ht="12.75">
      <c r="A566" s="2">
        <f t="shared" si="3"/>
        <v>558</v>
      </c>
      <c r="B566" s="6">
        <f>DATE(2000,6,10)</f>
        <v>36687</v>
      </c>
      <c r="C566" s="1" t="s">
        <v>39</v>
      </c>
      <c r="D566" s="2" t="s">
        <v>526</v>
      </c>
      <c r="E566" s="2">
        <v>13</v>
      </c>
      <c r="F566" s="7">
        <f>SUM(E$5:$E566)</f>
        <v>5464</v>
      </c>
      <c r="G566" s="7">
        <f>SUM($E$532:E566)</f>
        <v>334</v>
      </c>
    </row>
    <row r="567" spans="1:7" ht="12.75">
      <c r="A567" s="2">
        <f t="shared" si="3"/>
        <v>559</v>
      </c>
      <c r="B567" s="6">
        <f>DATE(2000,6,11)</f>
        <v>36688</v>
      </c>
      <c r="C567" s="1" t="s">
        <v>17</v>
      </c>
      <c r="D567" s="2" t="s">
        <v>502</v>
      </c>
      <c r="E567" s="2">
        <v>6</v>
      </c>
      <c r="F567" s="7">
        <f>SUM(E$5:$E567)</f>
        <v>5470</v>
      </c>
      <c r="G567" s="7">
        <f>SUM($E$532:E567)</f>
        <v>340</v>
      </c>
    </row>
    <row r="568" spans="1:7" ht="12.75">
      <c r="A568" s="2">
        <f t="shared" si="3"/>
        <v>560</v>
      </c>
      <c r="B568" s="6">
        <f>DATE(2000,6,18)</f>
        <v>36695</v>
      </c>
      <c r="C568" s="1" t="s">
        <v>17</v>
      </c>
      <c r="D568" s="2" t="s">
        <v>521</v>
      </c>
      <c r="E568" s="2">
        <v>12</v>
      </c>
      <c r="F568" s="7">
        <f>SUM(E$5:$E568)</f>
        <v>5482</v>
      </c>
      <c r="G568" s="7">
        <f>SUM($E$532:E568)</f>
        <v>352</v>
      </c>
    </row>
    <row r="569" spans="1:8" ht="12.75">
      <c r="A569" s="2">
        <f t="shared" si="3"/>
        <v>561</v>
      </c>
      <c r="B569" s="6">
        <f>DATE(2000,6,25)</f>
        <v>36702</v>
      </c>
      <c r="C569" s="1" t="s">
        <v>17</v>
      </c>
      <c r="D569" s="2" t="s">
        <v>504</v>
      </c>
      <c r="E569" s="2">
        <v>6</v>
      </c>
      <c r="F569" s="7">
        <f>SUM(E$5:$E569)</f>
        <v>5488</v>
      </c>
      <c r="G569" s="7">
        <f>SUM($E$532:E569)</f>
        <v>358</v>
      </c>
      <c r="H569" s="2">
        <f>SUM(E563:E569)</f>
        <v>67</v>
      </c>
    </row>
    <row r="570" spans="1:7" ht="12.75">
      <c r="A570" s="2">
        <f t="shared" si="3"/>
        <v>562</v>
      </c>
      <c r="B570" s="6">
        <f>DATE(2000,7,16)</f>
        <v>36723</v>
      </c>
      <c r="C570" s="1" t="s">
        <v>17</v>
      </c>
      <c r="D570" s="2" t="s">
        <v>527</v>
      </c>
      <c r="E570" s="2">
        <v>11</v>
      </c>
      <c r="F570" s="7">
        <f>SUM(E$5:$E570)</f>
        <v>5499</v>
      </c>
      <c r="G570" s="7">
        <f>SUM($E$532:E570)</f>
        <v>369</v>
      </c>
    </row>
    <row r="571" spans="1:8" ht="12.75">
      <c r="A571" s="2">
        <f t="shared" si="3"/>
        <v>563</v>
      </c>
      <c r="B571" s="6">
        <f>DATE(2000,7,30)</f>
        <v>36737</v>
      </c>
      <c r="C571" s="1" t="s">
        <v>17</v>
      </c>
      <c r="D571" s="2" t="s">
        <v>528</v>
      </c>
      <c r="E571" s="2">
        <v>13</v>
      </c>
      <c r="F571" s="7">
        <f>SUM(E$5:$E571)</f>
        <v>5512</v>
      </c>
      <c r="G571" s="7">
        <f>SUM($E$532:E571)</f>
        <v>382</v>
      </c>
      <c r="H571" s="2">
        <f>SUM(E570:E571)</f>
        <v>24</v>
      </c>
    </row>
    <row r="572" spans="1:7" ht="12.75">
      <c r="A572" s="2">
        <f t="shared" si="3"/>
        <v>564</v>
      </c>
      <c r="B572" s="6">
        <f>DATE(2000,8,6)</f>
        <v>36744</v>
      </c>
      <c r="C572" s="1" t="s">
        <v>17</v>
      </c>
      <c r="D572" s="2" t="s">
        <v>61</v>
      </c>
      <c r="E572" s="2">
        <v>11</v>
      </c>
      <c r="F572" s="7">
        <f>SUM(E$5:$E572)</f>
        <v>5523</v>
      </c>
      <c r="G572" s="7">
        <f>SUM($E$532:E572)</f>
        <v>393</v>
      </c>
    </row>
    <row r="573" spans="1:7" ht="12.75">
      <c r="A573" s="2">
        <f t="shared" si="3"/>
        <v>565</v>
      </c>
      <c r="B573" s="6">
        <f>DATE(2000,8,13)</f>
        <v>36751</v>
      </c>
      <c r="C573" s="1" t="s">
        <v>17</v>
      </c>
      <c r="D573" s="2" t="s">
        <v>263</v>
      </c>
      <c r="E573" s="2">
        <v>12</v>
      </c>
      <c r="F573" s="7">
        <f>SUM(E$5:$E573)</f>
        <v>5535</v>
      </c>
      <c r="G573" s="7">
        <f>SUM($E$532:E573)</f>
        <v>405</v>
      </c>
    </row>
    <row r="574" spans="1:7" ht="12.75">
      <c r="A574" s="2">
        <f t="shared" si="3"/>
        <v>566</v>
      </c>
      <c r="B574" s="6">
        <f>DATE(2000,8,16)</f>
        <v>36754</v>
      </c>
      <c r="C574" s="1" t="s">
        <v>459</v>
      </c>
      <c r="D574" s="2" t="s">
        <v>529</v>
      </c>
      <c r="E574" s="2">
        <v>4</v>
      </c>
      <c r="F574" s="7">
        <f>SUM(E$5:$E574)</f>
        <v>5539</v>
      </c>
      <c r="G574" s="7">
        <f>SUM($E$532:E574)</f>
        <v>409</v>
      </c>
    </row>
    <row r="575" spans="1:7" ht="12.75">
      <c r="A575" s="2">
        <f t="shared" si="3"/>
        <v>567</v>
      </c>
      <c r="B575" s="6">
        <f>DATE(2000,8,17)</f>
        <v>36755</v>
      </c>
      <c r="C575" s="1" t="s">
        <v>459</v>
      </c>
      <c r="D575" s="2" t="s">
        <v>530</v>
      </c>
      <c r="E575" s="2">
        <v>5</v>
      </c>
      <c r="F575" s="7">
        <f>SUM(E$5:$E575)</f>
        <v>5544</v>
      </c>
      <c r="G575" s="7">
        <f>SUM($E$532:E575)</f>
        <v>414</v>
      </c>
    </row>
    <row r="576" spans="1:7" ht="12.75">
      <c r="A576" s="2">
        <f t="shared" si="3"/>
        <v>568</v>
      </c>
      <c r="B576" s="6">
        <f>DATE(2000,8,18)</f>
        <v>36756</v>
      </c>
      <c r="C576" s="1" t="s">
        <v>459</v>
      </c>
      <c r="D576" s="2" t="s">
        <v>531</v>
      </c>
      <c r="E576" s="2">
        <v>4</v>
      </c>
      <c r="F576" s="7">
        <f>SUM(E$5:$E576)</f>
        <v>5548</v>
      </c>
      <c r="G576" s="7">
        <f>SUM($E$532:E576)</f>
        <v>418</v>
      </c>
    </row>
    <row r="577" spans="1:7" ht="12.75">
      <c r="A577" s="2">
        <f t="shared" si="3"/>
        <v>569</v>
      </c>
      <c r="B577" s="6">
        <f>DATE(2000,8,20)</f>
        <v>36758</v>
      </c>
      <c r="C577" s="1" t="s">
        <v>459</v>
      </c>
      <c r="D577" s="2" t="s">
        <v>532</v>
      </c>
      <c r="E577" s="2">
        <v>10</v>
      </c>
      <c r="F577" s="7">
        <f>SUM(E$5:$E577)</f>
        <v>5558</v>
      </c>
      <c r="G577" s="7">
        <f>SUM($E$532:E577)</f>
        <v>428</v>
      </c>
    </row>
    <row r="578" spans="1:7" ht="12.75">
      <c r="A578" s="2">
        <f t="shared" si="3"/>
        <v>570</v>
      </c>
      <c r="B578" s="6">
        <f>DATE(2000,8,21)</f>
        <v>36759</v>
      </c>
      <c r="C578" s="1" t="s">
        <v>459</v>
      </c>
      <c r="D578" s="2" t="s">
        <v>533</v>
      </c>
      <c r="E578" s="2">
        <v>5</v>
      </c>
      <c r="F578" s="7">
        <f>SUM(E$5:$E578)</f>
        <v>5563</v>
      </c>
      <c r="G578" s="7">
        <f>SUM($E$532:E578)</f>
        <v>433</v>
      </c>
    </row>
    <row r="579" spans="1:7" ht="12.75">
      <c r="A579" s="2">
        <f t="shared" si="3"/>
        <v>571</v>
      </c>
      <c r="B579" s="6">
        <f>DATE(2000,8,22)</f>
        <v>36760</v>
      </c>
      <c r="C579" s="1" t="s">
        <v>459</v>
      </c>
      <c r="D579" s="2" t="s">
        <v>534</v>
      </c>
      <c r="E579" s="2">
        <v>4</v>
      </c>
      <c r="F579" s="7">
        <f>SUM(E$5:$E579)</f>
        <v>5567</v>
      </c>
      <c r="G579" s="7">
        <f>SUM($E$532:E579)</f>
        <v>437</v>
      </c>
    </row>
    <row r="580" spans="1:7" ht="12.75">
      <c r="A580" s="2">
        <f t="shared" si="3"/>
        <v>572</v>
      </c>
      <c r="B580" s="6">
        <f>DATE(2000,8,23)</f>
        <v>36761</v>
      </c>
      <c r="C580" s="1" t="s">
        <v>459</v>
      </c>
      <c r="D580" s="2" t="s">
        <v>535</v>
      </c>
      <c r="E580" s="2">
        <v>2</v>
      </c>
      <c r="F580" s="7">
        <f>SUM(E$5:$E580)</f>
        <v>5569</v>
      </c>
      <c r="G580" s="7">
        <f>SUM($E$532:E580)</f>
        <v>439</v>
      </c>
    </row>
    <row r="581" spans="1:7" ht="12.75">
      <c r="A581" s="2">
        <f t="shared" si="3"/>
        <v>573</v>
      </c>
      <c r="B581" s="6">
        <f>DATE(2000,8,24)</f>
        <v>36762</v>
      </c>
      <c r="C581" s="1" t="s">
        <v>459</v>
      </c>
      <c r="D581" s="2" t="s">
        <v>536</v>
      </c>
      <c r="E581" s="2">
        <v>3</v>
      </c>
      <c r="F581" s="7">
        <f>SUM(E$5:$E581)</f>
        <v>5572</v>
      </c>
      <c r="G581" s="7">
        <f>SUM($E$532:E581)</f>
        <v>442</v>
      </c>
    </row>
    <row r="582" spans="1:7" ht="12.75">
      <c r="A582" s="2">
        <f t="shared" si="3"/>
        <v>574</v>
      </c>
      <c r="B582" s="6">
        <f>DATE(2000,8,25)</f>
        <v>36763</v>
      </c>
      <c r="C582" s="1" t="s">
        <v>459</v>
      </c>
      <c r="D582" s="2" t="s">
        <v>538</v>
      </c>
      <c r="E582" s="2">
        <v>9</v>
      </c>
      <c r="F582" s="7">
        <f>SUM(E$5:$E582)</f>
        <v>5581</v>
      </c>
      <c r="G582" s="7">
        <f>SUM($E$532:E582)</f>
        <v>451</v>
      </c>
    </row>
    <row r="583" spans="1:8" ht="12.75">
      <c r="A583" s="2">
        <f t="shared" si="3"/>
        <v>575</v>
      </c>
      <c r="B583" s="6">
        <f>DATE(2000,8,26)</f>
        <v>36764</v>
      </c>
      <c r="C583" s="1" t="s">
        <v>459</v>
      </c>
      <c r="D583" s="2" t="s">
        <v>537</v>
      </c>
      <c r="E583" s="2">
        <v>3</v>
      </c>
      <c r="F583" s="7">
        <f>SUM(E$5:$E583)</f>
        <v>5584</v>
      </c>
      <c r="G583" s="7">
        <f>SUM($E$532:E583)</f>
        <v>454</v>
      </c>
      <c r="H583"/>
    </row>
    <row r="584" spans="1:8" ht="12.75">
      <c r="A584" s="2">
        <f t="shared" si="3"/>
        <v>576</v>
      </c>
      <c r="B584" s="6">
        <f>DATE(2000,9,3)</f>
        <v>36772</v>
      </c>
      <c r="C584" s="1" t="s">
        <v>17</v>
      </c>
      <c r="D584" s="2" t="s">
        <v>45</v>
      </c>
      <c r="E584" s="2">
        <v>5</v>
      </c>
      <c r="F584" s="7">
        <f>SUM(E$5:$E584)</f>
        <v>5589</v>
      </c>
      <c r="G584" s="7">
        <f>SUM($E$532:E584)</f>
        <v>459</v>
      </c>
      <c r="H584"/>
    </row>
    <row r="585" spans="1:8" ht="12.75">
      <c r="A585" s="2">
        <f t="shared" si="3"/>
        <v>577</v>
      </c>
      <c r="B585" s="6">
        <f>DATE(2000,9,10)</f>
        <v>36779</v>
      </c>
      <c r="C585" s="1" t="s">
        <v>17</v>
      </c>
      <c r="D585" s="2" t="s">
        <v>539</v>
      </c>
      <c r="E585" s="2">
        <v>11</v>
      </c>
      <c r="F585" s="7">
        <f>SUM(E$5:$E585)</f>
        <v>5600</v>
      </c>
      <c r="G585" s="7">
        <f>SUM($E$532:E585)</f>
        <v>470</v>
      </c>
      <c r="H585"/>
    </row>
    <row r="586" spans="1:8" ht="12.75">
      <c r="A586" s="2">
        <f t="shared" si="3"/>
        <v>578</v>
      </c>
      <c r="B586" s="6">
        <f>DATE(2000,9,23)</f>
        <v>36792</v>
      </c>
      <c r="C586" s="2" t="s">
        <v>444</v>
      </c>
      <c r="D586" s="2" t="s">
        <v>204</v>
      </c>
      <c r="E586" s="2">
        <v>11</v>
      </c>
      <c r="F586" s="7">
        <f>SUM(E$5:$E586)</f>
        <v>5611</v>
      </c>
      <c r="G586" s="7">
        <f>SUM($E$532:E586)</f>
        <v>481</v>
      </c>
      <c r="H586"/>
    </row>
    <row r="587" spans="1:8" ht="12.75">
      <c r="A587" s="2">
        <f t="shared" si="3"/>
        <v>579</v>
      </c>
      <c r="B587" s="6">
        <f>DATE(2000,9,24)</f>
        <v>36793</v>
      </c>
      <c r="C587" s="2" t="s">
        <v>17</v>
      </c>
      <c r="D587" s="2" t="s">
        <v>540</v>
      </c>
      <c r="E587" s="2">
        <v>10</v>
      </c>
      <c r="F587" s="7">
        <f>SUM(E$5:$E587)</f>
        <v>5621</v>
      </c>
      <c r="G587" s="7">
        <f>SUM($E$532:E587)</f>
        <v>491</v>
      </c>
      <c r="H587"/>
    </row>
    <row r="588" spans="1:8" ht="12.75">
      <c r="A588" s="2">
        <f t="shared" si="3"/>
        <v>580</v>
      </c>
      <c r="B588" s="6">
        <f>DATE(2000,10,1)</f>
        <v>36800</v>
      </c>
      <c r="C588" s="2" t="s">
        <v>444</v>
      </c>
      <c r="D588" s="2" t="s">
        <v>18</v>
      </c>
      <c r="E588" s="2">
        <v>5</v>
      </c>
      <c r="F588" s="7">
        <f>SUM(E$5:$E588)</f>
        <v>5626</v>
      </c>
      <c r="G588" s="7">
        <f>SUM($E$532:E588)</f>
        <v>496</v>
      </c>
      <c r="H588"/>
    </row>
    <row r="589" spans="1:8" ht="12.75">
      <c r="A589" s="2">
        <f aca="true" t="shared" si="4" ref="A589:A595">A588+1</f>
        <v>581</v>
      </c>
      <c r="B589" s="6">
        <f>DATE(2000,10,7)</f>
        <v>36806</v>
      </c>
      <c r="C589" s="2" t="s">
        <v>17</v>
      </c>
      <c r="D589" s="2" t="s">
        <v>541</v>
      </c>
      <c r="E589" s="2">
        <v>9</v>
      </c>
      <c r="F589" s="7">
        <f>SUM(E$5:$E589)</f>
        <v>5635</v>
      </c>
      <c r="G589" s="7">
        <f>SUM($E$532:E589)</f>
        <v>505</v>
      </c>
      <c r="H589"/>
    </row>
    <row r="590" spans="1:8" ht="12.75">
      <c r="A590" s="2">
        <f t="shared" si="4"/>
        <v>582</v>
      </c>
      <c r="B590" s="6">
        <f>DATE(2000,10,8)</f>
        <v>36807</v>
      </c>
      <c r="C590" s="2" t="s">
        <v>17</v>
      </c>
      <c r="D590" s="2" t="s">
        <v>542</v>
      </c>
      <c r="E590" s="2">
        <v>9</v>
      </c>
      <c r="F590" s="7">
        <f>SUM(E$5:$E590)</f>
        <v>5644</v>
      </c>
      <c r="G590" s="7">
        <f>SUM($E$532:E590)</f>
        <v>514</v>
      </c>
      <c r="H590"/>
    </row>
    <row r="591" spans="1:8" ht="12.75">
      <c r="A591" s="2">
        <f t="shared" si="4"/>
        <v>583</v>
      </c>
      <c r="B591" s="6">
        <f>DATE(2000,10,15)</f>
        <v>36814</v>
      </c>
      <c r="C591" s="2" t="s">
        <v>39</v>
      </c>
      <c r="D591" s="2" t="s">
        <v>543</v>
      </c>
      <c r="E591" s="2">
        <v>10</v>
      </c>
      <c r="F591" s="7">
        <f>SUM(E$5:$E591)</f>
        <v>5654</v>
      </c>
      <c r="G591" s="7">
        <f>SUM($E$532:E591)</f>
        <v>524</v>
      </c>
      <c r="H591"/>
    </row>
    <row r="592" spans="1:8" ht="12.75">
      <c r="A592" s="2">
        <f t="shared" si="4"/>
        <v>584</v>
      </c>
      <c r="B592" s="6">
        <f>DATE(2000,10,22)</f>
        <v>36821</v>
      </c>
      <c r="C592" s="2" t="s">
        <v>17</v>
      </c>
      <c r="D592" s="2" t="s">
        <v>544</v>
      </c>
      <c r="E592" s="2">
        <v>10</v>
      </c>
      <c r="F592" s="7">
        <f>SUM(E$5:$E592)</f>
        <v>5664</v>
      </c>
      <c r="G592" s="7">
        <f>SUM($E$532:E592)</f>
        <v>534</v>
      </c>
      <c r="H592"/>
    </row>
    <row r="593" spans="1:8" ht="12.75">
      <c r="A593" s="2">
        <f t="shared" si="4"/>
        <v>585</v>
      </c>
      <c r="B593" s="6">
        <f>DATE(2000,10,27)</f>
        <v>36826</v>
      </c>
      <c r="C593" s="2" t="s">
        <v>306</v>
      </c>
      <c r="D593" s="2" t="s">
        <v>545</v>
      </c>
      <c r="E593" s="2">
        <v>9</v>
      </c>
      <c r="F593" s="7">
        <f>SUM(E$5:$E593)</f>
        <v>5673</v>
      </c>
      <c r="G593" s="7">
        <f>SUM($E$532:E593)</f>
        <v>543</v>
      </c>
      <c r="H593"/>
    </row>
    <row r="594" spans="1:8" ht="12.75">
      <c r="A594" s="2">
        <f t="shared" si="4"/>
        <v>586</v>
      </c>
      <c r="B594" s="6">
        <f>DATE(2000,10,28)</f>
        <v>36827</v>
      </c>
      <c r="C594" s="2" t="s">
        <v>306</v>
      </c>
      <c r="D594" s="2" t="s">
        <v>546</v>
      </c>
      <c r="E594" s="2">
        <v>6</v>
      </c>
      <c r="F594" s="7">
        <f>SUM(E$5:$E594)</f>
        <v>5679</v>
      </c>
      <c r="G594" s="7">
        <f>SUM($E$532:E594)</f>
        <v>549</v>
      </c>
      <c r="H594"/>
    </row>
    <row r="595" spans="1:8" ht="12.75">
      <c r="A595" s="2">
        <f t="shared" si="4"/>
        <v>587</v>
      </c>
      <c r="B595" s="6">
        <f>DATE(2000,11,5)</f>
        <v>36835</v>
      </c>
      <c r="C595" s="2" t="s">
        <v>17</v>
      </c>
      <c r="D595" s="2" t="s">
        <v>547</v>
      </c>
      <c r="E595" s="2">
        <v>10</v>
      </c>
      <c r="F595" s="7">
        <f>SUM(E$5:$E595)</f>
        <v>5689</v>
      </c>
      <c r="G595" s="7">
        <f>SUM($E$532:E595)</f>
        <v>559</v>
      </c>
      <c r="H595"/>
    </row>
    <row r="596" spans="1:8" ht="12.75">
      <c r="A596" s="2">
        <f>A595+1</f>
        <v>588</v>
      </c>
      <c r="B596" s="6">
        <f>DATE(2000,11,19)</f>
        <v>36849</v>
      </c>
      <c r="C596" s="2" t="s">
        <v>548</v>
      </c>
      <c r="D596" s="2" t="s">
        <v>549</v>
      </c>
      <c r="E596" s="2">
        <v>8</v>
      </c>
      <c r="F596" s="7">
        <f>SUM(E$5:$E596)</f>
        <v>5697</v>
      </c>
      <c r="G596" s="7">
        <f>SUM($E$532:E596)</f>
        <v>567</v>
      </c>
      <c r="H596"/>
    </row>
    <row r="597" spans="1:8" ht="12.75">
      <c r="A597" s="2">
        <f aca="true" t="shared" si="5" ref="A597:A603">A596+1</f>
        <v>589</v>
      </c>
      <c r="B597" s="6">
        <f>DATE(2000,12,3)</f>
        <v>36863</v>
      </c>
      <c r="C597" s="2" t="s">
        <v>17</v>
      </c>
      <c r="D597" s="2" t="s">
        <v>173</v>
      </c>
      <c r="E597" s="2">
        <v>11</v>
      </c>
      <c r="F597" s="7">
        <f>SUM(E$5:$E597)</f>
        <v>5708</v>
      </c>
      <c r="G597" s="7">
        <f>SUM($E$532:E597)</f>
        <v>578</v>
      </c>
      <c r="H597"/>
    </row>
    <row r="598" spans="1:8" ht="12.75">
      <c r="A598" s="2">
        <f t="shared" si="5"/>
        <v>590</v>
      </c>
      <c r="B598" s="6">
        <f>DATE(2000,12,10)</f>
        <v>36870</v>
      </c>
      <c r="C598" s="2" t="s">
        <v>39</v>
      </c>
      <c r="D598" s="2" t="s">
        <v>550</v>
      </c>
      <c r="E598" s="2">
        <v>16</v>
      </c>
      <c r="F598" s="7">
        <f>SUM(E$5:$E598)</f>
        <v>5724</v>
      </c>
      <c r="G598" s="7">
        <f>SUM($E$532:E598)</f>
        <v>594</v>
      </c>
      <c r="H598"/>
    </row>
    <row r="599" spans="1:8" ht="12.75">
      <c r="A599" s="2">
        <f t="shared" si="5"/>
        <v>591</v>
      </c>
      <c r="B599" s="6">
        <f>DATE(2000,12,17)</f>
        <v>36877</v>
      </c>
      <c r="C599" s="2" t="s">
        <v>17</v>
      </c>
      <c r="D599" s="2" t="s">
        <v>551</v>
      </c>
      <c r="E599" s="2">
        <v>11</v>
      </c>
      <c r="F599" s="7">
        <f>SUM(E$5:$E599)</f>
        <v>5735</v>
      </c>
      <c r="G599" s="7">
        <f>SUM($E$532:E599)</f>
        <v>605</v>
      </c>
      <c r="H599"/>
    </row>
    <row r="600" spans="1:8" ht="12.75">
      <c r="A600" s="2">
        <f t="shared" si="5"/>
        <v>592</v>
      </c>
      <c r="B600" s="6">
        <f>DATE(2000,12,24)</f>
        <v>36884</v>
      </c>
      <c r="C600" s="2" t="s">
        <v>17</v>
      </c>
      <c r="D600" s="2" t="s">
        <v>552</v>
      </c>
      <c r="E600" s="2">
        <v>3</v>
      </c>
      <c r="F600" s="7">
        <f>SUM(E$5:$E600)</f>
        <v>5738</v>
      </c>
      <c r="G600" s="7">
        <f>SUM($E$532:E600)</f>
        <v>608</v>
      </c>
      <c r="H600"/>
    </row>
    <row r="601" spans="1:8" ht="12.75">
      <c r="A601" s="2">
        <f t="shared" si="5"/>
        <v>593</v>
      </c>
      <c r="B601" s="6">
        <f>DATE(2000,12,28)</f>
        <v>36888</v>
      </c>
      <c r="C601" s="2" t="s">
        <v>444</v>
      </c>
      <c r="D601" s="2" t="s">
        <v>16</v>
      </c>
      <c r="E601" s="2">
        <v>3</v>
      </c>
      <c r="F601" s="7">
        <f>SUM(E$5:$E601)</f>
        <v>5741</v>
      </c>
      <c r="G601" s="7">
        <f>SUM($E$532:E601)</f>
        <v>611</v>
      </c>
      <c r="H601"/>
    </row>
    <row r="602" spans="1:8" ht="12.75">
      <c r="A602" s="2">
        <f t="shared" si="5"/>
        <v>594</v>
      </c>
      <c r="B602" s="6">
        <f>DATE(2000,12,29)</f>
        <v>36889</v>
      </c>
      <c r="C602" s="2" t="s">
        <v>554</v>
      </c>
      <c r="D602" s="2" t="s">
        <v>553</v>
      </c>
      <c r="E602" s="2">
        <v>8</v>
      </c>
      <c r="F602" s="7">
        <f>SUM(E$5:$E602)</f>
        <v>5749</v>
      </c>
      <c r="G602" s="7">
        <f>SUM($E$532:E602)</f>
        <v>619</v>
      </c>
      <c r="H602"/>
    </row>
    <row r="603" spans="1:7" ht="12.75">
      <c r="A603" s="2">
        <f t="shared" si="5"/>
        <v>595</v>
      </c>
      <c r="B603" s="6">
        <f>DATE(2001,1,7)</f>
        <v>36898</v>
      </c>
      <c r="C603" s="2" t="s">
        <v>39</v>
      </c>
      <c r="D603" s="2" t="s">
        <v>555</v>
      </c>
      <c r="E603" s="2">
        <v>13</v>
      </c>
      <c r="F603" s="7">
        <f>SUM(E$5:$E603)</f>
        <v>5762</v>
      </c>
      <c r="G603" s="7">
        <f>SUM($E$603:E603)</f>
        <v>13</v>
      </c>
    </row>
    <row r="604" spans="1:7" ht="12.75">
      <c r="A604" s="2">
        <f aca="true" t="shared" si="6" ref="A604:A612">A603+1</f>
        <v>596</v>
      </c>
      <c r="B604" s="6">
        <f>DATE(2001,1,13)</f>
        <v>36904</v>
      </c>
      <c r="C604" s="2" t="s">
        <v>39</v>
      </c>
      <c r="D604" s="2" t="s">
        <v>121</v>
      </c>
      <c r="E604" s="2">
        <v>6</v>
      </c>
      <c r="F604" s="7">
        <f>SUM(E$5:$E604)</f>
        <v>5768</v>
      </c>
      <c r="G604" s="7">
        <f>SUM($E$603:E604)</f>
        <v>19</v>
      </c>
    </row>
    <row r="605" spans="1:7" ht="12.75">
      <c r="A605" s="2">
        <f t="shared" si="6"/>
        <v>597</v>
      </c>
      <c r="B605" s="6">
        <f>DATE(2001,1,14)</f>
        <v>36905</v>
      </c>
      <c r="C605" s="2" t="s">
        <v>17</v>
      </c>
      <c r="D605" s="2" t="s">
        <v>439</v>
      </c>
      <c r="E605" s="2">
        <v>10</v>
      </c>
      <c r="F605" s="7">
        <f>SUM(E$5:$E605)</f>
        <v>5778</v>
      </c>
      <c r="G605" s="7">
        <f>SUM($E$603:E605)</f>
        <v>29</v>
      </c>
    </row>
    <row r="606" spans="1:7" ht="12.75">
      <c r="A606" s="2">
        <f t="shared" si="6"/>
        <v>598</v>
      </c>
      <c r="B606" s="6">
        <f>DATE(2001,1,21)</f>
        <v>36912</v>
      </c>
      <c r="C606" s="2" t="s">
        <v>556</v>
      </c>
      <c r="D606" s="2" t="s">
        <v>557</v>
      </c>
      <c r="E606" s="2">
        <v>6</v>
      </c>
      <c r="F606" s="7">
        <f>SUM(E$5:$E606)</f>
        <v>5784</v>
      </c>
      <c r="G606" s="7">
        <f>SUM($E$603:E606)</f>
        <v>35</v>
      </c>
    </row>
    <row r="607" spans="1:7" ht="12.75">
      <c r="A607" s="2">
        <f t="shared" si="6"/>
        <v>599</v>
      </c>
      <c r="B607" s="6">
        <f>DATE(2001,1,28)</f>
        <v>36919</v>
      </c>
      <c r="C607" s="2" t="s">
        <v>39</v>
      </c>
      <c r="D607" s="2" t="s">
        <v>558</v>
      </c>
      <c r="E607" s="2">
        <v>12</v>
      </c>
      <c r="F607" s="7">
        <f>SUM(E$5:$E607)</f>
        <v>5796</v>
      </c>
      <c r="G607" s="7">
        <f>SUM($E$603:E607)</f>
        <v>47</v>
      </c>
    </row>
    <row r="608" spans="1:7" ht="12.75">
      <c r="A608" s="2">
        <f t="shared" si="6"/>
        <v>600</v>
      </c>
      <c r="B608" s="6">
        <f>DATE(2001,2,4)</f>
        <v>36926</v>
      </c>
      <c r="C608" s="2" t="s">
        <v>39</v>
      </c>
      <c r="D608" s="2" t="s">
        <v>155</v>
      </c>
      <c r="E608" s="2">
        <v>13</v>
      </c>
      <c r="F608" s="7">
        <f>SUM(E$5:$E608)</f>
        <v>5809</v>
      </c>
      <c r="G608" s="7">
        <f>SUM($E$603:E608)</f>
        <v>60</v>
      </c>
    </row>
    <row r="609" spans="1:7" ht="12.75">
      <c r="A609" s="2">
        <f t="shared" si="6"/>
        <v>601</v>
      </c>
      <c r="B609" s="6">
        <f>DATE(2001,2,11)</f>
        <v>36933</v>
      </c>
      <c r="C609" s="2" t="s">
        <v>17</v>
      </c>
      <c r="D609" s="2" t="s">
        <v>555</v>
      </c>
      <c r="E609" s="2">
        <v>9</v>
      </c>
      <c r="F609" s="7">
        <f>SUM(E$5:$E609)</f>
        <v>5818</v>
      </c>
      <c r="G609" s="7">
        <f>SUM($E$603:E609)</f>
        <v>69</v>
      </c>
    </row>
    <row r="610" spans="1:7" ht="12.75">
      <c r="A610" s="2">
        <f t="shared" si="6"/>
        <v>602</v>
      </c>
      <c r="B610" s="6">
        <f>DATE(2001,2,17)</f>
        <v>36939</v>
      </c>
      <c r="C610" s="2" t="s">
        <v>560</v>
      </c>
      <c r="D610" s="2" t="s">
        <v>94</v>
      </c>
      <c r="E610" s="2">
        <v>11</v>
      </c>
      <c r="F610" s="7">
        <f>SUM(E$5:$E610)</f>
        <v>5829</v>
      </c>
      <c r="G610" s="7">
        <f>SUM($E$603:E610)</f>
        <v>80</v>
      </c>
    </row>
    <row r="611" spans="1:7" ht="12.75">
      <c r="A611" s="2">
        <f t="shared" si="6"/>
        <v>603</v>
      </c>
      <c r="B611" s="6">
        <f>DATE(2001,2,18)</f>
        <v>36940</v>
      </c>
      <c r="C611" s="2" t="s">
        <v>17</v>
      </c>
      <c r="D611" s="2" t="s">
        <v>559</v>
      </c>
      <c r="E611" s="2">
        <v>8</v>
      </c>
      <c r="F611" s="7">
        <f>SUM(E$5:$E611)</f>
        <v>5837</v>
      </c>
      <c r="G611" s="7">
        <f>SUM($E$603:E611)</f>
        <v>88</v>
      </c>
    </row>
    <row r="612" spans="1:7" ht="12.75">
      <c r="A612" s="2">
        <f t="shared" si="6"/>
        <v>604</v>
      </c>
      <c r="B612" s="6">
        <f>DATE(2001,2,22)</f>
        <v>36944</v>
      </c>
      <c r="C612" s="2" t="s">
        <v>562</v>
      </c>
      <c r="D612" s="2" t="s">
        <v>561</v>
      </c>
      <c r="E612" s="2">
        <v>2</v>
      </c>
      <c r="F612" s="7">
        <f>SUM(E$5:$E612)</f>
        <v>5839</v>
      </c>
      <c r="G612" s="7">
        <f>SUM($E$603:E612)</f>
        <v>90</v>
      </c>
    </row>
    <row r="613" spans="1:7" ht="12.75">
      <c r="A613" s="2">
        <f aca="true" t="shared" si="7" ref="A613:A629">A612+1</f>
        <v>605</v>
      </c>
      <c r="B613" s="6">
        <f>DATE(2001,2,23)</f>
        <v>36945</v>
      </c>
      <c r="C613" s="2" t="s">
        <v>562</v>
      </c>
      <c r="D613" s="2" t="s">
        <v>563</v>
      </c>
      <c r="E613" s="2">
        <v>13</v>
      </c>
      <c r="F613" s="7">
        <f>SUM(E$5:$E613)</f>
        <v>5852</v>
      </c>
      <c r="G613" s="7">
        <f>SUM($E$603:E613)</f>
        <v>103</v>
      </c>
    </row>
    <row r="614" spans="1:7" ht="12.75">
      <c r="A614" s="2">
        <f t="shared" si="7"/>
        <v>606</v>
      </c>
      <c r="B614" s="6">
        <f>DATE(2001,2,24)</f>
        <v>36946</v>
      </c>
      <c r="C614" s="2" t="s">
        <v>562</v>
      </c>
      <c r="D614" s="2" t="s">
        <v>564</v>
      </c>
      <c r="E614" s="2">
        <v>10</v>
      </c>
      <c r="F614" s="7">
        <f>SUM(E$5:$E614)</f>
        <v>5862</v>
      </c>
      <c r="G614" s="7">
        <f>SUM($E$603:E614)</f>
        <v>113</v>
      </c>
    </row>
    <row r="615" spans="1:7" ht="12.75">
      <c r="A615" s="2">
        <f t="shared" si="7"/>
        <v>607</v>
      </c>
      <c r="B615" s="6">
        <f>DATE(2001,2,25)</f>
        <v>36947</v>
      </c>
      <c r="C615" s="2" t="s">
        <v>562</v>
      </c>
      <c r="D615" s="2" t="s">
        <v>565</v>
      </c>
      <c r="E615" s="2">
        <v>7</v>
      </c>
      <c r="F615" s="7">
        <f>SUM(E$5:$E615)</f>
        <v>5869</v>
      </c>
      <c r="G615" s="7">
        <f>SUM($E$603:E615)</f>
        <v>120</v>
      </c>
    </row>
    <row r="616" spans="1:7" ht="12.75">
      <c r="A616" s="2">
        <f t="shared" si="7"/>
        <v>608</v>
      </c>
      <c r="B616" s="6">
        <f>DATE(2001,4,11)</f>
        <v>36992</v>
      </c>
      <c r="C616" s="2" t="s">
        <v>562</v>
      </c>
      <c r="D616" s="2" t="s">
        <v>566</v>
      </c>
      <c r="E616" s="2">
        <v>10</v>
      </c>
      <c r="F616" s="7">
        <f>SUM(E$5:$E616)</f>
        <v>5879</v>
      </c>
      <c r="G616" s="7">
        <f>SUM($E$603:E616)</f>
        <v>130</v>
      </c>
    </row>
    <row r="617" spans="1:7" ht="12.75">
      <c r="A617" s="2">
        <f t="shared" si="7"/>
        <v>609</v>
      </c>
      <c r="B617" s="6">
        <f>DATE(2001,4,12)</f>
        <v>36993</v>
      </c>
      <c r="C617" s="2" t="s">
        <v>562</v>
      </c>
      <c r="D617" s="2" t="s">
        <v>567</v>
      </c>
      <c r="E617" s="2">
        <v>7</v>
      </c>
      <c r="F617" s="7">
        <f>SUM(E$5:$E617)</f>
        <v>5886</v>
      </c>
      <c r="G617" s="7">
        <f>SUM($E$603:E617)</f>
        <v>137</v>
      </c>
    </row>
    <row r="618" spans="1:7" ht="12.75">
      <c r="A618" s="2">
        <f t="shared" si="7"/>
        <v>610</v>
      </c>
      <c r="B618" s="6">
        <f>DATE(2001,4,13)</f>
        <v>36994</v>
      </c>
      <c r="C618" s="2" t="s">
        <v>562</v>
      </c>
      <c r="D618" s="2" t="s">
        <v>568</v>
      </c>
      <c r="E618" s="2">
        <v>7</v>
      </c>
      <c r="F618" s="7">
        <f>SUM(E$5:$E618)</f>
        <v>5893</v>
      </c>
      <c r="G618" s="7">
        <f>SUM($E$603:E618)</f>
        <v>144</v>
      </c>
    </row>
    <row r="619" spans="1:7" ht="12.75">
      <c r="A619" s="2">
        <f t="shared" si="7"/>
        <v>611</v>
      </c>
      <c r="B619" s="6">
        <f>DATE(2001,4,14)</f>
        <v>36995</v>
      </c>
      <c r="C619" s="2" t="s">
        <v>562</v>
      </c>
      <c r="D619" s="2" t="s">
        <v>569</v>
      </c>
      <c r="E619" s="2">
        <v>7</v>
      </c>
      <c r="F619" s="7">
        <f>SUM(E$5:$E619)</f>
        <v>5900</v>
      </c>
      <c r="G619" s="7">
        <f>SUM($E$603:E619)</f>
        <v>151</v>
      </c>
    </row>
    <row r="620" spans="1:7" ht="12.75">
      <c r="A620" s="2">
        <f t="shared" si="7"/>
        <v>612</v>
      </c>
      <c r="B620" s="6">
        <f>DATE(2001,4,15)</f>
        <v>36996</v>
      </c>
      <c r="C620" s="2" t="s">
        <v>562</v>
      </c>
      <c r="D620" s="2" t="s">
        <v>570</v>
      </c>
      <c r="E620" s="2">
        <v>7</v>
      </c>
      <c r="F620" s="7">
        <f>SUM(E$5:$E620)</f>
        <v>5907</v>
      </c>
      <c r="G620" s="7">
        <f>SUM($E$603:E620)</f>
        <v>158</v>
      </c>
    </row>
    <row r="621" spans="1:7" ht="12.75">
      <c r="A621" s="2">
        <f t="shared" si="7"/>
        <v>613</v>
      </c>
      <c r="B621" s="6">
        <f>DATE(2001,5,6)</f>
        <v>37017</v>
      </c>
      <c r="C621" s="2" t="s">
        <v>562</v>
      </c>
      <c r="D621" s="2" t="s">
        <v>117</v>
      </c>
      <c r="E621" s="2">
        <v>6</v>
      </c>
      <c r="F621" s="7">
        <f>SUM(E$5:$E621)</f>
        <v>5913</v>
      </c>
      <c r="G621" s="7">
        <f>SUM($E$603:E621)</f>
        <v>164</v>
      </c>
    </row>
    <row r="622" spans="1:7" ht="12.75">
      <c r="A622" s="2">
        <f t="shared" si="7"/>
        <v>614</v>
      </c>
      <c r="B622" s="6">
        <f>DATE(2001,5,13)</f>
        <v>37024</v>
      </c>
      <c r="C622" s="2" t="s">
        <v>17</v>
      </c>
      <c r="D622" s="2" t="s">
        <v>16</v>
      </c>
      <c r="E622" s="2">
        <v>6</v>
      </c>
      <c r="F622" s="7">
        <f>SUM(E$5:$E622)</f>
        <v>5919</v>
      </c>
      <c r="G622" s="7">
        <f>SUM($E$603:E622)</f>
        <v>170</v>
      </c>
    </row>
    <row r="623" spans="1:7" ht="12.75">
      <c r="A623" s="2">
        <f t="shared" si="7"/>
        <v>615</v>
      </c>
      <c r="B623" s="6">
        <f>DATE(2001,5,20)</f>
        <v>37031</v>
      </c>
      <c r="C623" s="2" t="s">
        <v>17</v>
      </c>
      <c r="D623" s="2" t="s">
        <v>16</v>
      </c>
      <c r="E623" s="2">
        <v>6</v>
      </c>
      <c r="F623" s="7">
        <f>SUM(E$5:$E623)</f>
        <v>5925</v>
      </c>
      <c r="G623" s="7">
        <f>SUM($E$603:E623)</f>
        <v>176</v>
      </c>
    </row>
    <row r="624" spans="1:7" ht="12.75">
      <c r="A624" s="2">
        <f t="shared" si="7"/>
        <v>616</v>
      </c>
      <c r="B624" s="6">
        <f>DATE(2001,5,27)</f>
        <v>37038</v>
      </c>
      <c r="C624" s="2" t="s">
        <v>17</v>
      </c>
      <c r="D624" s="2" t="s">
        <v>571</v>
      </c>
      <c r="E624" s="2">
        <v>11</v>
      </c>
      <c r="F624" s="7">
        <f>SUM(E$5:$E624)</f>
        <v>5936</v>
      </c>
      <c r="G624" s="7">
        <f>SUM($E$603:E624)</f>
        <v>187</v>
      </c>
    </row>
    <row r="625" spans="1:7" ht="12.75">
      <c r="A625" s="2">
        <f t="shared" si="7"/>
        <v>617</v>
      </c>
      <c r="B625" s="6">
        <f>DATE(2001,5,29)</f>
        <v>37040</v>
      </c>
      <c r="C625" s="2" t="s">
        <v>562</v>
      </c>
      <c r="D625" s="2" t="s">
        <v>572</v>
      </c>
      <c r="E625" s="2">
        <v>10</v>
      </c>
      <c r="F625" s="7">
        <f>SUM(E$5:$E625)</f>
        <v>5946</v>
      </c>
      <c r="G625" s="7">
        <f>SUM($E$603:E625)</f>
        <v>197</v>
      </c>
    </row>
    <row r="626" spans="1:7" ht="12.75">
      <c r="A626" s="2">
        <f t="shared" si="7"/>
        <v>618</v>
      </c>
      <c r="B626" s="6">
        <f>DATE(2001,6,2)</f>
        <v>37044</v>
      </c>
      <c r="C626" s="2" t="s">
        <v>110</v>
      </c>
      <c r="D626" s="2" t="s">
        <v>573</v>
      </c>
      <c r="E626" s="2">
        <v>11</v>
      </c>
      <c r="F626" s="7">
        <f>SUM(E$5:$E626)</f>
        <v>5957</v>
      </c>
      <c r="G626" s="7">
        <f>SUM($E$603:E626)</f>
        <v>208</v>
      </c>
    </row>
    <row r="627" spans="1:7" ht="12.75">
      <c r="A627" s="2">
        <f t="shared" si="7"/>
        <v>619</v>
      </c>
      <c r="B627" s="6">
        <f>DATE(2001,6,3)</f>
        <v>37045</v>
      </c>
      <c r="C627" s="2" t="s">
        <v>17</v>
      </c>
      <c r="D627" s="2" t="s">
        <v>574</v>
      </c>
      <c r="E627" s="2">
        <v>10</v>
      </c>
      <c r="F627" s="7">
        <f>SUM(E$5:$E627)</f>
        <v>5967</v>
      </c>
      <c r="G627" s="7">
        <f>SUM($E$603:E627)</f>
        <v>218</v>
      </c>
    </row>
    <row r="628" spans="1:7" ht="12.75">
      <c r="A628" s="2">
        <f t="shared" si="7"/>
        <v>620</v>
      </c>
      <c r="B628" s="6">
        <f>DATE(2001,6,10)</f>
        <v>37052</v>
      </c>
      <c r="C628" s="2" t="s">
        <v>17</v>
      </c>
      <c r="D628" s="2" t="s">
        <v>575</v>
      </c>
      <c r="E628" s="2">
        <v>11</v>
      </c>
      <c r="F628" s="7">
        <f>SUM(E$5:$E628)</f>
        <v>5978</v>
      </c>
      <c r="G628" s="7">
        <f>SUM($E$603:E628)</f>
        <v>229</v>
      </c>
    </row>
    <row r="629" spans="1:7" ht="12.75">
      <c r="A629" s="2">
        <f t="shared" si="7"/>
        <v>621</v>
      </c>
      <c r="B629" s="6">
        <f>DATE(2001,6,17)</f>
        <v>37059</v>
      </c>
      <c r="C629" s="2" t="s">
        <v>562</v>
      </c>
      <c r="D629" s="2" t="s">
        <v>61</v>
      </c>
      <c r="E629" s="2">
        <v>9</v>
      </c>
      <c r="F629" s="7">
        <f>SUM(E$5:$E629)</f>
        <v>5987</v>
      </c>
      <c r="G629" s="7">
        <f>SUM($E$603:E629)</f>
        <v>238</v>
      </c>
    </row>
    <row r="630" spans="1:7" ht="12.75">
      <c r="A630" s="2">
        <f aca="true" t="shared" si="8" ref="A630:A664">A629+1</f>
        <v>622</v>
      </c>
      <c r="B630" s="6">
        <v>37072</v>
      </c>
      <c r="C630" s="2" t="s">
        <v>39</v>
      </c>
      <c r="D630" s="2" t="s">
        <v>576</v>
      </c>
      <c r="E630" s="2">
        <v>9</v>
      </c>
      <c r="F630" s="7">
        <f>SUM(E$5:$E630)</f>
        <v>5996</v>
      </c>
      <c r="G630" s="7">
        <f>SUM($E$603:E630)</f>
        <v>247</v>
      </c>
    </row>
    <row r="631" spans="1:7" ht="12.75">
      <c r="A631" s="2">
        <f t="shared" si="8"/>
        <v>623</v>
      </c>
      <c r="B631" s="6">
        <f>DATE(2001,7,1)</f>
        <v>37073</v>
      </c>
      <c r="C631" s="2" t="s">
        <v>562</v>
      </c>
      <c r="D631" s="2" t="s">
        <v>439</v>
      </c>
      <c r="E631" s="2">
        <v>4</v>
      </c>
      <c r="F631" s="7">
        <f>SUM(E$5:$E631)</f>
        <v>6000</v>
      </c>
      <c r="G631" s="7">
        <f>SUM($E$603:E631)</f>
        <v>251</v>
      </c>
    </row>
    <row r="632" spans="1:7" ht="12.75">
      <c r="A632" s="2">
        <f t="shared" si="8"/>
        <v>624</v>
      </c>
      <c r="B632" s="6">
        <f>DATE(2001,7,8)</f>
        <v>37080</v>
      </c>
      <c r="C632" s="2" t="s">
        <v>17</v>
      </c>
      <c r="D632" s="2" t="s">
        <v>16</v>
      </c>
      <c r="E632" s="2">
        <v>13</v>
      </c>
      <c r="F632" s="7">
        <f>SUM(E$5:$E632)</f>
        <v>6013</v>
      </c>
      <c r="G632" s="7">
        <f>SUM($E$603:E632)</f>
        <v>264</v>
      </c>
    </row>
    <row r="633" spans="1:7" ht="12.75">
      <c r="A633" s="2">
        <f t="shared" si="8"/>
        <v>625</v>
      </c>
      <c r="B633" s="6">
        <f>DATE(2001,7,22)</f>
        <v>37094</v>
      </c>
      <c r="C633" s="2" t="s">
        <v>577</v>
      </c>
      <c r="D633" s="2" t="s">
        <v>578</v>
      </c>
      <c r="E633" s="2">
        <v>13</v>
      </c>
      <c r="F633" s="7">
        <f>SUM(E$5:$E633)</f>
        <v>6026</v>
      </c>
      <c r="G633" s="7">
        <f>SUM($E$603:E633)</f>
        <v>277</v>
      </c>
    </row>
    <row r="634" spans="1:7" ht="12.75">
      <c r="A634" s="2">
        <f t="shared" si="8"/>
        <v>626</v>
      </c>
      <c r="B634" s="6">
        <f>DATE(2001,7,29)</f>
        <v>37101</v>
      </c>
      <c r="C634" s="2" t="s">
        <v>17</v>
      </c>
      <c r="D634" s="2" t="s">
        <v>578</v>
      </c>
      <c r="E634" s="2">
        <v>11</v>
      </c>
      <c r="F634" s="7">
        <f>SUM(E$5:$E634)</f>
        <v>6037</v>
      </c>
      <c r="G634" s="7">
        <f>SUM($E$603:E634)</f>
        <v>288</v>
      </c>
    </row>
    <row r="635" spans="1:7" ht="12.75">
      <c r="A635" s="2">
        <f t="shared" si="8"/>
        <v>627</v>
      </c>
      <c r="B635" s="6">
        <f>DATE(2001,8,5)</f>
        <v>37108</v>
      </c>
      <c r="C635" s="2" t="s">
        <v>39</v>
      </c>
      <c r="D635" s="2" t="s">
        <v>579</v>
      </c>
      <c r="E635" s="2">
        <v>9</v>
      </c>
      <c r="F635" s="7">
        <f>SUM(E$5:$E635)</f>
        <v>6046</v>
      </c>
      <c r="G635" s="7">
        <f>SUM($E$603:E635)</f>
        <v>297</v>
      </c>
    </row>
    <row r="636" spans="1:7" ht="12.75">
      <c r="A636" s="2">
        <f t="shared" si="8"/>
        <v>628</v>
      </c>
      <c r="B636" s="6">
        <f>DATE(2001,8,9)</f>
        <v>37112</v>
      </c>
      <c r="C636" s="2" t="s">
        <v>562</v>
      </c>
      <c r="D636" s="2" t="s">
        <v>580</v>
      </c>
      <c r="E636" s="2">
        <v>7</v>
      </c>
      <c r="F636" s="7">
        <f>SUM(E$5:$E636)</f>
        <v>6053</v>
      </c>
      <c r="G636" s="7">
        <f>SUM($E$603:E636)</f>
        <v>304</v>
      </c>
    </row>
    <row r="637" spans="1:7" ht="12.75">
      <c r="A637" s="2">
        <f t="shared" si="8"/>
        <v>629</v>
      </c>
      <c r="B637" s="6">
        <f>DATE(2001,8,10)</f>
        <v>37113</v>
      </c>
      <c r="C637" s="2" t="s">
        <v>562</v>
      </c>
      <c r="D637" s="2" t="s">
        <v>581</v>
      </c>
      <c r="E637" s="2">
        <v>4</v>
      </c>
      <c r="F637" s="7">
        <f>SUM(E$5:$E637)</f>
        <v>6057</v>
      </c>
      <c r="G637" s="7">
        <f>SUM($E$603:E637)</f>
        <v>308</v>
      </c>
    </row>
    <row r="638" spans="1:7" ht="12.75">
      <c r="A638" s="2">
        <f t="shared" si="8"/>
        <v>630</v>
      </c>
      <c r="B638" s="6">
        <f>DATE(2001,8,11)</f>
        <v>37114</v>
      </c>
      <c r="C638" s="2" t="s">
        <v>562</v>
      </c>
      <c r="D638" s="2" t="s">
        <v>582</v>
      </c>
      <c r="E638" s="2">
        <v>7</v>
      </c>
      <c r="F638" s="7">
        <f>SUM(E$5:$E638)</f>
        <v>6064</v>
      </c>
      <c r="G638" s="7">
        <f>SUM($E$603:E638)</f>
        <v>315</v>
      </c>
    </row>
    <row r="639" spans="1:7" ht="12.75">
      <c r="A639" s="2">
        <f t="shared" si="8"/>
        <v>631</v>
      </c>
      <c r="B639" s="6">
        <f>DATE(2001,8,12)</f>
        <v>37115</v>
      </c>
      <c r="C639" s="2" t="s">
        <v>562</v>
      </c>
      <c r="D639" s="2" t="s">
        <v>583</v>
      </c>
      <c r="E639" s="2">
        <v>8</v>
      </c>
      <c r="F639" s="7">
        <f>SUM(E$5:$E639)</f>
        <v>6072</v>
      </c>
      <c r="G639" s="7">
        <f>SUM($E$603:E639)</f>
        <v>323</v>
      </c>
    </row>
    <row r="640" spans="1:7" ht="12.75">
      <c r="A640" s="2">
        <f t="shared" si="8"/>
        <v>632</v>
      </c>
      <c r="B640" s="6">
        <f>DATE(2001,8,13)</f>
        <v>37116</v>
      </c>
      <c r="C640" s="2" t="s">
        <v>562</v>
      </c>
      <c r="D640" s="2" t="s">
        <v>584</v>
      </c>
      <c r="E640" s="2">
        <v>7</v>
      </c>
      <c r="F640" s="7">
        <f>SUM(E$5:$E640)</f>
        <v>6079</v>
      </c>
      <c r="G640" s="7">
        <f>SUM($E$603:E640)</f>
        <v>330</v>
      </c>
    </row>
    <row r="641" spans="1:7" ht="12.75">
      <c r="A641" s="2">
        <f t="shared" si="8"/>
        <v>633</v>
      </c>
      <c r="B641" s="6">
        <f>DATE(2001,8,14)</f>
        <v>37117</v>
      </c>
      <c r="C641" s="2" t="s">
        <v>562</v>
      </c>
      <c r="D641" s="2" t="s">
        <v>585</v>
      </c>
      <c r="E641" s="2">
        <v>7</v>
      </c>
      <c r="F641" s="7">
        <f>SUM(E$5:$E641)</f>
        <v>6086</v>
      </c>
      <c r="G641" s="7">
        <f>SUM($E$603:E641)</f>
        <v>337</v>
      </c>
    </row>
    <row r="642" spans="1:7" ht="12.75">
      <c r="A642" s="2">
        <f t="shared" si="8"/>
        <v>634</v>
      </c>
      <c r="B642" s="6">
        <f>DATE(2001,8,15)</f>
        <v>37118</v>
      </c>
      <c r="C642" s="2" t="s">
        <v>562</v>
      </c>
      <c r="D642" s="2" t="s">
        <v>586</v>
      </c>
      <c r="E642" s="2">
        <v>4</v>
      </c>
      <c r="F642" s="7">
        <f>SUM(E$5:$E642)</f>
        <v>6090</v>
      </c>
      <c r="G642" s="7">
        <f>SUM($E$603:E642)</f>
        <v>341</v>
      </c>
    </row>
    <row r="643" spans="1:7" ht="12.75">
      <c r="A643" s="2">
        <f t="shared" si="8"/>
        <v>635</v>
      </c>
      <c r="B643" s="6">
        <f>DATE(2001,8,16)</f>
        <v>37119</v>
      </c>
      <c r="C643" s="2" t="s">
        <v>562</v>
      </c>
      <c r="D643" s="2" t="s">
        <v>587</v>
      </c>
      <c r="E643" s="2">
        <v>5</v>
      </c>
      <c r="F643" s="7">
        <f>SUM(E$5:$E643)</f>
        <v>6095</v>
      </c>
      <c r="G643" s="7">
        <f>SUM($E$603:E643)</f>
        <v>346</v>
      </c>
    </row>
    <row r="644" spans="1:7" ht="12.75">
      <c r="A644" s="2">
        <f t="shared" si="8"/>
        <v>636</v>
      </c>
      <c r="B644" s="6">
        <f>DATE(2001,8,17)</f>
        <v>37120</v>
      </c>
      <c r="C644" s="2" t="s">
        <v>562</v>
      </c>
      <c r="D644" s="2" t="s">
        <v>588</v>
      </c>
      <c r="E644" s="2">
        <v>6</v>
      </c>
      <c r="F644" s="7">
        <f>SUM(E$5:$E644)</f>
        <v>6101</v>
      </c>
      <c r="G644" s="7">
        <f>SUM($E$603:E644)</f>
        <v>352</v>
      </c>
    </row>
    <row r="645" spans="1:7" ht="12.75">
      <c r="A645" s="2">
        <f t="shared" si="8"/>
        <v>637</v>
      </c>
      <c r="B645" s="6">
        <f>DATE(2001,8,18)</f>
        <v>37121</v>
      </c>
      <c r="C645" s="2" t="s">
        <v>562</v>
      </c>
      <c r="D645" s="2" t="s">
        <v>589</v>
      </c>
      <c r="E645" s="2">
        <v>6</v>
      </c>
      <c r="F645" s="7">
        <f>SUM(E$5:$E645)</f>
        <v>6107</v>
      </c>
      <c r="G645" s="7">
        <f>SUM($E$603:E645)</f>
        <v>358</v>
      </c>
    </row>
    <row r="646" spans="1:7" ht="12.75">
      <c r="A646" s="2">
        <f t="shared" si="8"/>
        <v>638</v>
      </c>
      <c r="B646" s="6">
        <f>DATE(2001,8,19)</f>
        <v>37122</v>
      </c>
      <c r="C646" s="2" t="s">
        <v>562</v>
      </c>
      <c r="D646" s="2" t="s">
        <v>590</v>
      </c>
      <c r="E646" s="2">
        <v>7</v>
      </c>
      <c r="F646" s="7">
        <f>SUM(E$5:$E646)</f>
        <v>6114</v>
      </c>
      <c r="G646" s="7">
        <f>SUM($E$603:E646)</f>
        <v>365</v>
      </c>
    </row>
    <row r="647" spans="1:7" ht="12.75">
      <c r="A647" s="2">
        <f t="shared" si="8"/>
        <v>639</v>
      </c>
      <c r="B647" s="6">
        <f>DATE(2001,8,18)</f>
        <v>37121</v>
      </c>
      <c r="C647" s="2" t="s">
        <v>562</v>
      </c>
      <c r="D647" s="2" t="s">
        <v>591</v>
      </c>
      <c r="E647" s="2">
        <v>2</v>
      </c>
      <c r="F647" s="7">
        <f>SUM(E$5:$E647)</f>
        <v>6116</v>
      </c>
      <c r="G647" s="7">
        <f>SUM($E$603:E647)</f>
        <v>367</v>
      </c>
    </row>
    <row r="648" spans="1:7" ht="12.75">
      <c r="A648" s="2">
        <f t="shared" si="8"/>
        <v>640</v>
      </c>
      <c r="B648" s="6">
        <f>DATE(2001,9,8)</f>
        <v>37142</v>
      </c>
      <c r="C648" s="2" t="s">
        <v>39</v>
      </c>
      <c r="D648" s="2" t="s">
        <v>592</v>
      </c>
      <c r="E648" s="2">
        <v>8</v>
      </c>
      <c r="F648" s="7">
        <f>SUM(E$5:$E648)</f>
        <v>6124</v>
      </c>
      <c r="G648" s="7">
        <f>SUM($E$603:E648)</f>
        <v>375</v>
      </c>
    </row>
    <row r="649" spans="1:7" ht="12.75">
      <c r="A649" s="2">
        <f t="shared" si="8"/>
        <v>641</v>
      </c>
      <c r="B649" s="6">
        <f>DATE(2001,9,9)</f>
        <v>37143</v>
      </c>
      <c r="C649" s="2" t="s">
        <v>562</v>
      </c>
      <c r="D649" s="2" t="s">
        <v>558</v>
      </c>
      <c r="E649" s="2">
        <v>12</v>
      </c>
      <c r="F649" s="7">
        <f>SUM(E$5:$E649)</f>
        <v>6136</v>
      </c>
      <c r="G649" s="7">
        <f>SUM($E$603:E649)</f>
        <v>387</v>
      </c>
    </row>
    <row r="650" spans="1:7" ht="12.75">
      <c r="A650" s="2">
        <f t="shared" si="8"/>
        <v>642</v>
      </c>
      <c r="B650" s="6">
        <f>DATE(2001,9,15)</f>
        <v>37149</v>
      </c>
      <c r="C650" s="2" t="s">
        <v>39</v>
      </c>
      <c r="D650" s="2" t="s">
        <v>593</v>
      </c>
      <c r="E650" s="2">
        <v>8</v>
      </c>
      <c r="F650" s="7">
        <f>SUM(E$5:$E650)</f>
        <v>6144</v>
      </c>
      <c r="G650" s="7">
        <f>SUM($E$603:E650)</f>
        <v>395</v>
      </c>
    </row>
    <row r="651" spans="1:7" ht="12.75">
      <c r="A651" s="2">
        <f t="shared" si="8"/>
        <v>643</v>
      </c>
      <c r="B651" s="6">
        <f>DATE(2001,9,16)</f>
        <v>37150</v>
      </c>
      <c r="C651" s="2" t="s">
        <v>17</v>
      </c>
      <c r="D651" s="2" t="s">
        <v>558</v>
      </c>
      <c r="E651" s="2">
        <v>11</v>
      </c>
      <c r="F651" s="7">
        <f>SUM(E$5:$E651)</f>
        <v>6155</v>
      </c>
      <c r="G651" s="7">
        <f>SUM($E$603:E651)</f>
        <v>406</v>
      </c>
    </row>
    <row r="652" spans="1:7" ht="12.75">
      <c r="A652" s="2">
        <f t="shared" si="8"/>
        <v>644</v>
      </c>
      <c r="B652" s="6">
        <f>DATE(2001,9,18)</f>
        <v>37152</v>
      </c>
      <c r="C652" s="2" t="s">
        <v>39</v>
      </c>
      <c r="D652" s="2" t="s">
        <v>594</v>
      </c>
      <c r="E652" s="2">
        <v>5</v>
      </c>
      <c r="F652" s="7">
        <f>SUM(E$5:$E652)</f>
        <v>6160</v>
      </c>
      <c r="G652" s="7">
        <f>SUM($E$603:E652)</f>
        <v>411</v>
      </c>
    </row>
    <row r="653" spans="1:7" ht="12.75">
      <c r="A653" s="2">
        <f t="shared" si="8"/>
        <v>645</v>
      </c>
      <c r="B653" s="6">
        <f>DATE(2001,9,22)</f>
        <v>37156</v>
      </c>
      <c r="C653" s="2" t="s">
        <v>39</v>
      </c>
      <c r="D653" s="2" t="s">
        <v>595</v>
      </c>
      <c r="E653" s="2">
        <v>8</v>
      </c>
      <c r="F653" s="7">
        <f>SUM(E$5:$E653)</f>
        <v>6168</v>
      </c>
      <c r="G653" s="7">
        <f>SUM($E$603:E653)</f>
        <v>419</v>
      </c>
    </row>
    <row r="654" spans="1:7" ht="12.75">
      <c r="A654" s="2">
        <f t="shared" si="8"/>
        <v>646</v>
      </c>
      <c r="B654" s="6">
        <f>DATE(2001,9,23)</f>
        <v>37157</v>
      </c>
      <c r="C654" s="2" t="s">
        <v>39</v>
      </c>
      <c r="D654" s="2" t="s">
        <v>596</v>
      </c>
      <c r="E654" s="2">
        <v>13</v>
      </c>
      <c r="F654" s="7">
        <f>SUM(E$5:$E654)</f>
        <v>6181</v>
      </c>
      <c r="G654" s="7">
        <f>SUM($E$603:E654)</f>
        <v>432</v>
      </c>
    </row>
    <row r="655" spans="1:7" ht="12.75">
      <c r="A655" s="2">
        <f t="shared" si="8"/>
        <v>647</v>
      </c>
      <c r="B655" s="6">
        <f>DATE(2001,9,29)</f>
        <v>37163</v>
      </c>
      <c r="C655" s="2" t="s">
        <v>15</v>
      </c>
      <c r="D655" s="2" t="s">
        <v>597</v>
      </c>
      <c r="E655" s="2">
        <v>7</v>
      </c>
      <c r="F655" s="7">
        <f>SUM(E$5:$E655)</f>
        <v>6188</v>
      </c>
      <c r="G655" s="7">
        <f>SUM($E$603:E655)</f>
        <v>439</v>
      </c>
    </row>
    <row r="656" spans="1:7" ht="12.75">
      <c r="A656" s="2">
        <f t="shared" si="8"/>
        <v>648</v>
      </c>
      <c r="B656" s="6">
        <f>DATE(2001,10,7)</f>
        <v>37171</v>
      </c>
      <c r="C656" s="2" t="s">
        <v>39</v>
      </c>
      <c r="D656" s="2" t="s">
        <v>155</v>
      </c>
      <c r="E656" s="2">
        <v>10</v>
      </c>
      <c r="F656" s="7">
        <f>SUM(E$5:$E656)</f>
        <v>6198</v>
      </c>
      <c r="G656" s="7">
        <f>SUM($E$603:E656)</f>
        <v>449</v>
      </c>
    </row>
    <row r="657" spans="1:2" ht="12.75">
      <c r="A657" s="2">
        <f t="shared" si="8"/>
        <v>649</v>
      </c>
      <c r="B657" s="6">
        <f aca="true" t="shared" si="9" ref="B656:B661">DATE(2001,9,23)</f>
        <v>37157</v>
      </c>
    </row>
    <row r="658" spans="1:2" ht="12.75">
      <c r="A658" s="2">
        <f t="shared" si="8"/>
        <v>650</v>
      </c>
      <c r="B658" s="6">
        <f t="shared" si="9"/>
        <v>37157</v>
      </c>
    </row>
    <row r="659" spans="1:2" ht="12.75">
      <c r="A659" s="2">
        <f t="shared" si="8"/>
        <v>651</v>
      </c>
      <c r="B659" s="6">
        <f t="shared" si="9"/>
        <v>37157</v>
      </c>
    </row>
    <row r="660" spans="1:2" ht="12.75">
      <c r="A660" s="2">
        <f t="shared" si="8"/>
        <v>652</v>
      </c>
      <c r="B660" s="6">
        <f t="shared" si="9"/>
        <v>37157</v>
      </c>
    </row>
    <row r="661" spans="1:2" ht="12.75">
      <c r="A661" s="2">
        <f t="shared" si="8"/>
        <v>653</v>
      </c>
      <c r="B661" s="6">
        <f t="shared" si="9"/>
        <v>37157</v>
      </c>
    </row>
    <row r="662" ht="12.75">
      <c r="A662" s="2">
        <f t="shared" si="8"/>
        <v>654</v>
      </c>
    </row>
    <row r="663" ht="12.75">
      <c r="A663" s="2">
        <f t="shared" si="8"/>
        <v>655</v>
      </c>
    </row>
    <row r="664" ht="12.75">
      <c r="A664" s="2">
        <f t="shared" si="8"/>
        <v>656</v>
      </c>
    </row>
    <row r="755" ht="12.75">
      <c r="C755" s="2">
        <v>0</v>
      </c>
    </row>
  </sheetData>
  <printOptions/>
  <pageMargins left="0.5" right="0.5" top="0.5" bottom="0.2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2000-05-15T09:08:18Z</cp:lastPrinted>
  <dcterms:created xsi:type="dcterms:W3CDTF">1998-01-26T12:10:05Z</dcterms:created>
  <dcterms:modified xsi:type="dcterms:W3CDTF">2001-10-10T03:38:04Z</dcterms:modified>
  <cp:category/>
  <cp:version/>
  <cp:contentType/>
  <cp:contentStatus/>
</cp:coreProperties>
</file>